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n\Desktop\По номенклатуре_2018 (актуально)\ИНФО НА САЙТ\13.12.2018\Бюджет\"/>
    </mc:Choice>
  </mc:AlternateContent>
  <bookViews>
    <workbookView xWindow="0" yWindow="0" windowWidth="28800" windowHeight="14100"/>
  </bookViews>
  <sheets>
    <sheet name="Лист1" sheetId="1" r:id="rId1"/>
  </sheets>
  <definedNames>
    <definedName name="_xlnm._FilterDatabase" localSheetId="0" hidden="1">Лист1!$B$5:$C$155</definedName>
    <definedName name="_xlnm.Print_Titles" localSheetId="0">Лист1!$4:$5</definedName>
    <definedName name="_xlnm.Print_Area" localSheetId="0">Лист1!$A$1:$P$158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" i="1" l="1"/>
  <c r="E153" i="1"/>
  <c r="G146" i="1"/>
  <c r="F146" i="1"/>
  <c r="E146" i="1"/>
  <c r="E141" i="1"/>
  <c r="E118" i="1"/>
  <c r="G114" i="1"/>
  <c r="G105" i="1"/>
  <c r="F105" i="1"/>
  <c r="E105" i="1"/>
  <c r="G102" i="1"/>
  <c r="F102" i="1"/>
  <c r="E102" i="1"/>
  <c r="G94" i="1"/>
  <c r="F94" i="1"/>
  <c r="E94" i="1"/>
  <c r="G80" i="1"/>
  <c r="F80" i="1"/>
  <c r="E80" i="1"/>
  <c r="G74" i="1"/>
  <c r="F74" i="1"/>
  <c r="E74" i="1"/>
  <c r="G67" i="1"/>
  <c r="F67" i="1"/>
  <c r="E67" i="1"/>
  <c r="G54" i="1"/>
  <c r="F54" i="1"/>
  <c r="E54" i="1"/>
  <c r="G47" i="1"/>
  <c r="F47" i="1"/>
  <c r="E47" i="1"/>
  <c r="G42" i="1"/>
  <c r="F42" i="1"/>
  <c r="E42" i="1"/>
  <c r="G37" i="1"/>
  <c r="F37" i="1"/>
  <c r="E37" i="1"/>
  <c r="G32" i="1" l="1"/>
  <c r="F32" i="1"/>
  <c r="E32" i="1"/>
  <c r="G22" i="1"/>
  <c r="F22" i="1"/>
  <c r="E22" i="1"/>
  <c r="G13" i="1"/>
  <c r="F13" i="1"/>
  <c r="E13" i="1"/>
  <c r="G6" i="1"/>
  <c r="F6" i="1"/>
  <c r="E6" i="1"/>
  <c r="J80" i="1"/>
  <c r="P157" i="1" l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M157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O157" i="1"/>
  <c r="O155" i="1"/>
  <c r="O153" i="1"/>
  <c r="O150" i="1"/>
  <c r="O146" i="1"/>
  <c r="O144" i="1"/>
  <c r="O141" i="1"/>
  <c r="O137" i="1"/>
  <c r="O132" i="1"/>
  <c r="O128" i="1"/>
  <c r="O121" i="1"/>
  <c r="O118" i="1"/>
  <c r="O114" i="1"/>
  <c r="O108" i="1"/>
  <c r="O105" i="1"/>
  <c r="O102" i="1"/>
  <c r="O97" i="1"/>
  <c r="O94" i="1"/>
  <c r="O91" i="1"/>
  <c r="O89" i="1"/>
  <c r="O85" i="1"/>
  <c r="O80" i="1"/>
  <c r="O74" i="1"/>
  <c r="O67" i="1"/>
  <c r="O54" i="1"/>
  <c r="O47" i="1"/>
  <c r="O42" i="1"/>
  <c r="O37" i="1"/>
  <c r="O32" i="1"/>
  <c r="O22" i="1"/>
  <c r="O13" i="1"/>
  <c r="L157" i="1"/>
  <c r="L155" i="1"/>
  <c r="L153" i="1"/>
  <c r="L150" i="1"/>
  <c r="L146" i="1"/>
  <c r="L144" i="1"/>
  <c r="L141" i="1"/>
  <c r="L137" i="1"/>
  <c r="L132" i="1"/>
  <c r="L128" i="1"/>
  <c r="L121" i="1"/>
  <c r="L118" i="1"/>
  <c r="L114" i="1"/>
  <c r="L108" i="1"/>
  <c r="L105" i="1"/>
  <c r="L102" i="1"/>
  <c r="L97" i="1"/>
  <c r="L94" i="1"/>
  <c r="L91" i="1"/>
  <c r="L89" i="1"/>
  <c r="L85" i="1"/>
  <c r="L80" i="1"/>
  <c r="L74" i="1"/>
  <c r="L67" i="1"/>
  <c r="L54" i="1"/>
  <c r="L47" i="1"/>
  <c r="L42" i="1"/>
  <c r="L37" i="1"/>
  <c r="L32" i="1"/>
  <c r="L22" i="1"/>
  <c r="L13" i="1"/>
  <c r="J157" i="1"/>
  <c r="I157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I155" i="1"/>
  <c r="I153" i="1"/>
  <c r="I150" i="1"/>
  <c r="I146" i="1"/>
  <c r="I144" i="1"/>
  <c r="I141" i="1"/>
  <c r="I137" i="1"/>
  <c r="I132" i="1"/>
  <c r="I128" i="1"/>
  <c r="I121" i="1"/>
  <c r="I118" i="1"/>
  <c r="I114" i="1"/>
  <c r="I108" i="1"/>
  <c r="I105" i="1"/>
  <c r="I102" i="1"/>
  <c r="I97" i="1"/>
  <c r="I94" i="1"/>
  <c r="I91" i="1"/>
  <c r="I89" i="1"/>
  <c r="I85" i="1"/>
  <c r="I80" i="1"/>
  <c r="I74" i="1"/>
  <c r="I67" i="1"/>
  <c r="I54" i="1"/>
  <c r="I47" i="1"/>
  <c r="I42" i="1"/>
  <c r="I37" i="1"/>
  <c r="I32" i="1"/>
  <c r="I22" i="1"/>
  <c r="I13" i="1"/>
  <c r="J6" i="1"/>
  <c r="O6" i="1"/>
  <c r="L6" i="1"/>
  <c r="I6" i="1"/>
</calcChain>
</file>

<file path=xl/sharedStrings.xml><?xml version="1.0" encoding="utf-8"?>
<sst xmlns="http://schemas.openxmlformats.org/spreadsheetml/2006/main" count="1181" uniqueCount="195">
  <si>
    <t>Государственная программа Тульской области "Развитие здравоохранения Тульской области"</t>
  </si>
  <si>
    <t>Подпрограмма "Экспертиза и контрольно-надзорные функции в сфере охраны здоровья"</t>
  </si>
  <si>
    <t>Б</t>
  </si>
  <si>
    <t>Г</t>
  </si>
  <si>
    <t>Подпрограмма "Обеспечение реализации государственной программы"</t>
  </si>
  <si>
    <t>Государственная программа Тульской области "Развитие образования Тульской области"</t>
  </si>
  <si>
    <t>Подпрограмма "Развитие дошкольного образования Тульской области"</t>
  </si>
  <si>
    <t>Подпрограмма "Развитие общего образования Тульской области"</t>
  </si>
  <si>
    <t>Подпрограмма "Развитие профессионального образования Тульской области"</t>
  </si>
  <si>
    <t>Подпрограмма "Развитие дополнительного профессионального образования Тульской области"</t>
  </si>
  <si>
    <t>Подпрограмма "Развитие дополнительного образования Тульской области"</t>
  </si>
  <si>
    <t>Подпрограмма "Организация духовно-нравственного воспитания детей и молодежи Тульской области"</t>
  </si>
  <si>
    <t>Подпрограмма "Развитие инфраструктуры образовательных организаций, расположенных на территории Тульской области"</t>
  </si>
  <si>
    <t>Государственная программа Тульской области "Развитие культуры и туризма Тульской области"</t>
  </si>
  <si>
    <t>Подпрограмма "Памятники истории и культуры Тульской области"</t>
  </si>
  <si>
    <t>Подпрограмма "Сохранение и развитие библиотечного дела"</t>
  </si>
  <si>
    <t>Подпрограмма "Сохранение и развитие музеев Тульской области"</t>
  </si>
  <si>
    <t>Подпрограмма "Сохранение и развитие традиционной народной культуры, промыслов и ремесел"</t>
  </si>
  <si>
    <t>Подпрограмма "Развитие организаций образования отрасли "Культура"</t>
  </si>
  <si>
    <t>Подпрограмма "Развитие внутреннего и въездного туризма в Тульской области"</t>
  </si>
  <si>
    <t>Основное мероприятие "Обеспечение реализации государственной программы"</t>
  </si>
  <si>
    <t>Подпрограмма "Развитие архивного дела Тульской области"</t>
  </si>
  <si>
    <t>Государственная программа Тульской области "Развитие физической культуры и спорта в Тульской области"</t>
  </si>
  <si>
    <t>Подпрограмма "Развитие физической культуры и массового спорта в Тульской области"</t>
  </si>
  <si>
    <t>Подпрограмма "Развитие спорта высших достижений и системы подготовки спортивного резерва Тульской области"</t>
  </si>
  <si>
    <t>Государственная программа Тульской области "Социальная поддержка и социальное обслуживание населения Тульской области"</t>
  </si>
  <si>
    <t>Подпрограмма "Развитие мер социальной поддержки отдельных категорий граждан"</t>
  </si>
  <si>
    <t>Подпрограмма "Обеспечение деятельности учреждений социального обслуживания населения и государственных учреждений, осуществляющих функции в сфере социальной защиты населения"</t>
  </si>
  <si>
    <t>Подпрограмма "Повышение качества жизни старшего поколения Тульской области"</t>
  </si>
  <si>
    <t>Государственная программа Тульской области "Улучшение демографической ситуации и поддержка семей, воспитывающих детей, в Тульской области"</t>
  </si>
  <si>
    <t>Подпрограмма "Совершенствование социальной поддержки семьи и детей в Тульской области"</t>
  </si>
  <si>
    <t>Подпрограмма "Улучшение демографической ситуации в Тульской области"</t>
  </si>
  <si>
    <t>Подпрограмма "Улучшение положения детей в Тульской области"</t>
  </si>
  <si>
    <t>Подпрограмма "Организация отдыха и оздоровления детей в Тульской области"</t>
  </si>
  <si>
    <t>Государственная программа Тульской области "Содействие занятости населения Тульской области"</t>
  </si>
  <si>
    <t>Подпрограмма "Активная политика занятости населения и социальная поддержка безработных граждан"</t>
  </si>
  <si>
    <t>Подпрограмма "Улучшение условий и охраны труда в Тульской области"</t>
  </si>
  <si>
    <t>Основное мероприятие "Совершенствование и обеспечение деятельности государственного учреждения Тульской области "Центр занятости населения Тульской области"</t>
  </si>
  <si>
    <t>Основное мероприятие "Обеспечение защиты трудовых прав граждан и содействие поддержанию высокой квалификации работников"</t>
  </si>
  <si>
    <t>Государственная программа Тульской области "Развитие сельского хозяйства Тульской области"</t>
  </si>
  <si>
    <t>Подпрограмма "Развитие подотрасли растениеводства, переработки и реализации продукции растениеводства"</t>
  </si>
  <si>
    <t>Подпрограмма "Развитие подотрасли животноводства, переработки и реализации продукции животноводства"</t>
  </si>
  <si>
    <t>Подпрограмма "Обеспечение эпизоотического и ветеринарно-санитарного благополучия территории Тульской области"</t>
  </si>
  <si>
    <t>Подпрограмма "Недопущение распространения и ликвидация африканской чумы свиней на территории Тульской области"</t>
  </si>
  <si>
    <t>Подпрограмма "Обеспечение предоставления государственных услуг (работ) государственными учреждениями ветеринарии в сфере ветеринарии"</t>
  </si>
  <si>
    <t>Подпрограмма "Развитие отраслей агропромышленного комплекса"</t>
  </si>
  <si>
    <t>Подпрограмма "Стимулирование инвестиционной деятельности в агропромышленном комплексе"</t>
  </si>
  <si>
    <t>В</t>
  </si>
  <si>
    <t>Государственная программа Тульской области "Охрана окружающей среды Тульской области"</t>
  </si>
  <si>
    <t>Основное мероприятие "Осуществление отдельных полномочий Российской Федерации в области водных отношений, переданных органам государственной власти субъектов Российской Федерации"</t>
  </si>
  <si>
    <t>Основное мероприятие "Обеспечение деятельности на особо охраняемых и рекреационных территориях Тульских парков"</t>
  </si>
  <si>
    <t>Подпрограмма "Охрана лесов от пожаров"</t>
  </si>
  <si>
    <t>Подпрограмма "Защита лесов от болезней, вредителей леса и других негативных факторов"</t>
  </si>
  <si>
    <t>Подпрограмма "Воспроизводство лесов"</t>
  </si>
  <si>
    <t>Подпрограмма "Обеспечение использования лесов"</t>
  </si>
  <si>
    <t>Государственная программа Тульской области "Энергоэффективность Тульской области"</t>
  </si>
  <si>
    <t>Основное мероприятие "Энергосбережение и повышение энергетической эффективности Тульской области"</t>
  </si>
  <si>
    <t>Подпрограмма "Развитие пригородного и городского пассажирского транспорта Тульской области"</t>
  </si>
  <si>
    <t>Государственная программа Тульской области "Модернизация и развитие автомобильных дорог общего пользования в Тульской области"</t>
  </si>
  <si>
    <t>Подпрограмма "Строительство, реконструкция, капитальный ремонт, ремонт и содержание автомобильных дорог"</t>
  </si>
  <si>
    <t>Государственная программа Тульской области "Улучшение инвестиционного климата Тульской области"</t>
  </si>
  <si>
    <t>Основное мероприятие "Повышение инвестиционной привлекательности региона"</t>
  </si>
  <si>
    <t>Основное мероприятие "Формирование благоприятной инвестиционной среды"</t>
  </si>
  <si>
    <t>Основное мероприятие "Формирование положительного инвестиционного имиджа Тульской области"</t>
  </si>
  <si>
    <t>Государственная программа Тульской области "Развитие промышленности в Тульской области"</t>
  </si>
  <si>
    <t>Подпрограмма "Развитие промышленного комплекса Тульской области"</t>
  </si>
  <si>
    <t>Подпрограмма "Развитие научной и инновационной деятельности в Тульской области"</t>
  </si>
  <si>
    <t>Государственная программа Тульской области "Развитие малого и среднего предпринимательства в Тульской области"</t>
  </si>
  <si>
    <t>Подпрограмма "Финансовая и информационно-инфраструктурная поддержка малого и среднего предпринимательства"</t>
  </si>
  <si>
    <t>Государственная программа Тульской области "Управление государственными финансами Тульской области"</t>
  </si>
  <si>
    <t>Подпрограмма "Повышение эффективности бюджетных расходов Тульской области"</t>
  </si>
  <si>
    <t>Подпрограмма "Развитие механизмов регулирования межбюджетных отношений"</t>
  </si>
  <si>
    <t>Основное мероприятие "Управление государственным долгом Тульской области"</t>
  </si>
  <si>
    <t>Подпрограмма "Развитие контрактной системы Тульской области"</t>
  </si>
  <si>
    <t>Государственная программа Тульской области "Информационное общество Тульской области"</t>
  </si>
  <si>
    <t>Подпрограмма "Информационный регион Тульской области"</t>
  </si>
  <si>
    <t>Подпрограмма "Развитие системы управления качеством предоставления государственных и муниципальных услуг на базе многофункциональных центров предоставления государственных и муниципальных услуг Тульской области"</t>
  </si>
  <si>
    <t>Государственная программа Тульской области "Реализация государственной национальной политики и развитие местного самоуправления в Тульской области"</t>
  </si>
  <si>
    <t>Подпрограмма "Укрепление единства российской нации и этнокультурное развитие народов России в Тульской области"</t>
  </si>
  <si>
    <t>Основное мероприятие "Оказание экономической поддержки Ассоциации "Совет муниципальных образований Тульской области"</t>
  </si>
  <si>
    <t>Государственная программа Тульской области "Защита населения и территорий Тульской области от чрезвычайных ситуаций, обеспечение пожарной безопасности и безопасности людей на водных объектах"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</si>
  <si>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</si>
  <si>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"Обеспечение пожарной безопасности"</t>
  </si>
  <si>
    <t>Основное мероприятие "Обеспечение деятельности добровольных пожарных"</t>
  </si>
  <si>
    <t>Основное мероприятие "Оказание социальной поддержки работникам государственного учреждения Тульской области "Управление противопожарной службы"</t>
  </si>
  <si>
    <t>Подпрограмма "Построение (развитие), внедрение и эксплуатация аппаратно-программного комплекса "Безопасный город"</t>
  </si>
  <si>
    <t>Государственная программа Тульской области "Управление государственным имуществом и земельными ресурсами Тульской области"</t>
  </si>
  <si>
    <t>Подпрограмма "Имущественные отношения"</t>
  </si>
  <si>
    <t>Подпрограмма "Земельные отношения"</t>
  </si>
  <si>
    <t>Государственная программа Тульской области "Информационная политика в Тульской области"</t>
  </si>
  <si>
    <t>Подпрограмма "Общество и власть"</t>
  </si>
  <si>
    <t>Подпрограмма "Поддержка печатных СМИ"</t>
  </si>
  <si>
    <t>Подпрограмма "Поддержка электронных СМИ"</t>
  </si>
  <si>
    <t>Государственная программа Тульской области "Повышение общественной безопасности населения в Тульской области"</t>
  </si>
  <si>
    <t>Подпрограмма "Противодействие злоупотреблению наркотиками и их незаконному обороту"</t>
  </si>
  <si>
    <t>Подпрограмма "Повышение безопасности дорожного движения в Тульской области"</t>
  </si>
  <si>
    <t>Государственная программа Тульской области "Доступная среда"</t>
  </si>
  <si>
    <t>Подпрограмма "Формирование безбарьерной среды жизнедеятельности для инвалидов и других маломобильных групп населения"</t>
  </si>
  <si>
    <t>Подпрограмма "Предоставление мер социальной поддержки инвалидам Тульской области"</t>
  </si>
  <si>
    <t>Государственная программа Тульской области "Государственная поддержка социально ориентированных некоммерческих организаций в Тульской области"</t>
  </si>
  <si>
    <t>Основное мероприятие "Финансовая поддержка социально ориентированных некоммерческих организаций"</t>
  </si>
  <si>
    <t>Государственная программа Тульской области "Оказание содействия добровольному переселению в Российскую Федерацию соотечественников, проживающих за рубежом"</t>
  </si>
  <si>
    <t>Основное мероприятие "Осуществление мер социальной поддержки участников программы и членов их семей"</t>
  </si>
  <si>
    <t>Основное мероприятие "Совершенствование и обеспечение деятельности государственного учреждения Тульской области "Центр временного размещения соотечественников"</t>
  </si>
  <si>
    <t>Государственная программа Тульской области "Развитие молодежной политики в Тульской области"</t>
  </si>
  <si>
    <t>Подпрограмма "Молодежь Тульской области"</t>
  </si>
  <si>
    <t>Подпрограмма "Допризывная подготовка молодежи Тульской области к военной службе"</t>
  </si>
  <si>
    <t>Государственная программа Тульской области "Модернизация и обновление специализированной техники в Тульской области"</t>
  </si>
  <si>
    <t>П</t>
  </si>
  <si>
    <t>Подпрограмма "Поддержка театрально-концертной деятельности"</t>
  </si>
  <si>
    <t>Государственная программа Тульской области "Развитие лесного хозяйства Тульской области"</t>
  </si>
  <si>
    <t>ВСЕГО</t>
  </si>
  <si>
    <t>2019 год</t>
  </si>
  <si>
    <t>2020 год</t>
  </si>
  <si>
    <t>Код</t>
  </si>
  <si>
    <t>Пп</t>
  </si>
  <si>
    <t>Приложение № 2</t>
  </si>
  <si>
    <t>Утвержденные бюджетные ассигнования на 2018 год на аналогичные цели*, тыс. рублей</t>
  </si>
  <si>
    <t>Финансирование по паспорту (проекту паспорта), тыс. рублей</t>
  </si>
  <si>
    <t>2021 год</t>
  </si>
  <si>
    <t>Подпрограмма "Сопровождение инвалидов, в том числе молодого возраста, при трудоустройстве в рамках мероприятий по содействию занятости населения"</t>
  </si>
  <si>
    <t>Подпрограмма "Поддержка малых форм хозяйствования"</t>
  </si>
  <si>
    <t>Подпрограмма "Устойчивое развитие сельских территорий на 2014 - 2017 годы и на период до 2021 года"</t>
  </si>
  <si>
    <t>Подпрограмма "Экология и природные ресурсы Тульской области на 2014 - 2021 годы"</t>
  </si>
  <si>
    <t>Подпрограмма "Рациональное использование природных ресурсов Тульской области на 2014 - 2021 годы"</t>
  </si>
  <si>
    <t>Подпрограмма "Обращение с твердыми бытовыми отходами в Тульской области на 2014 - 2021 годы"</t>
  </si>
  <si>
    <t>Подпрограмма "Развитие дорожного хозяйства"</t>
  </si>
  <si>
    <t>Анализ бюджетных ассигнований на реализацию в 2019-2021 годах госпрограмм</t>
  </si>
  <si>
    <t>Наименование госпрограммы, подпрограммы (региональной программы, основного мероприятия)</t>
  </si>
  <si>
    <t>Бюджетные ассигнования согласно приложениям к Законопроекту, их отклонение от показателей паспортов (проектов паспортов), представленных с Законопроектом, тыс. рублей, и соответствующий темп прироста к предыдущему году</t>
  </si>
  <si>
    <t>01</t>
  </si>
  <si>
    <t>0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</si>
  <si>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</si>
  <si>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1</t>
  </si>
  <si>
    <t>Подпрограмма "Развитие медицинской реабилитации и санаторно-курортного лечения, в том числе детей"</t>
  </si>
  <si>
    <t>2</t>
  </si>
  <si>
    <t>Подпрограмма "Развитие кадровых ресурсов в здравоохранении"</t>
  </si>
  <si>
    <t>3</t>
  </si>
  <si>
    <t>4</t>
  </si>
  <si>
    <t>Подпрограмма "Информационные технологии и управление развитием отрасли"</t>
  </si>
  <si>
    <t>5</t>
  </si>
  <si>
    <t>7</t>
  </si>
  <si>
    <t>02</t>
  </si>
  <si>
    <t>8</t>
  </si>
  <si>
    <t>9</t>
  </si>
  <si>
    <t>03</t>
  </si>
  <si>
    <t>6</t>
  </si>
  <si>
    <t>04</t>
  </si>
  <si>
    <t>Основное мероприятие "Спорт – норма жизни"</t>
  </si>
  <si>
    <t>05</t>
  </si>
  <si>
    <t>06</t>
  </si>
  <si>
    <t>07</t>
  </si>
  <si>
    <t>Подпрограмма "Реализация мероприятий в области поддержки занятости в рамках реализации отдельных мероприятий приоритетной программы "Повышение производительности труда и поддержка занятости"</t>
  </si>
  <si>
    <t>08</t>
  </si>
  <si>
    <t>Подпрограмма "Развитие мелиорации земель сельскохозяйственного назначения Тульской области на период 2014 - 2021 годов"</t>
  </si>
  <si>
    <t>Подпрограмма "Экспорт продукции агропромышленного комплекса"</t>
  </si>
  <si>
    <t>09</t>
  </si>
  <si>
    <t>10</t>
  </si>
  <si>
    <t>Государственная программа Тульской области "Обеспечение доступным и комфортным жильем населения Тульской области"</t>
  </si>
  <si>
    <t>11</t>
  </si>
  <si>
    <t>Подпрограмма "Доступное жилье"</t>
  </si>
  <si>
    <t>Подпрограмма "Стимулирование программ газификации населенных пунктов муниципальных образований Тульской области"</t>
  </si>
  <si>
    <t>Подпрограмма "Переселение граждан из непригодного для проживания жилищного фонда"</t>
  </si>
  <si>
    <t>Государственная программа Тульской области "Обеспечение качественными услугами жилищно-коммунального хозяйства населения Тульской области"</t>
  </si>
  <si>
    <t>31</t>
  </si>
  <si>
    <t>Подпрограмма "Развитие и модернизация инженерной инфраструктуры в коммунальном хозяйстве Тульской области"</t>
  </si>
  <si>
    <t>Подпрограмма "Развитие региональной системы капитального ремонта общего имущества многоквартирных домов на территории Тульской области"</t>
  </si>
  <si>
    <t>Основное мероприятие "Имущественный комплекс жилищно-коммунального хозяйства Тульской области"</t>
  </si>
  <si>
    <t>12</t>
  </si>
  <si>
    <t>Государственная программа Тульской области "Развитие транспортной системы Тульской области"</t>
  </si>
  <si>
    <t>13</t>
  </si>
  <si>
    <t>14</t>
  </si>
  <si>
    <t>15</t>
  </si>
  <si>
    <t>Основное мероприятие "Повышение туристического потенциала Тульской области"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</si>
  <si>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</si>
  <si>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</si>
  <si>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</si>
  <si>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</si>
  <si>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</si>
  <si>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</si>
  <si>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</si>
  <si>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</si>
  <si>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</si>
  <si>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Подпрограмма "Профилактика правонарушений и терроризма"</t>
  </si>
  <si>
    <t>25</t>
  </si>
  <si>
    <t>26</t>
  </si>
  <si>
    <t>27</t>
  </si>
  <si>
    <t>Основное мероприятие "Повышение миграционной привлекательности Тульской области"</t>
  </si>
  <si>
    <t>28</t>
  </si>
  <si>
    <t>Государственная программа Тульской области "Формирование современной городской среды в Тульской области"</t>
  </si>
  <si>
    <t>29</t>
  </si>
  <si>
    <t>Основное мероприятие "Формирование комфортной городской среды"</t>
  </si>
  <si>
    <t>30</t>
  </si>
  <si>
    <t>* В соответствии с Законом о бюджете области на 2018-2020 годы на основе сопоставления наименований госпрограмм, подпрограмм (основных мероприятий) и их содержания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</si>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</sst>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\+0.0%;\-0.0%;0.0%"/>
    <numFmt numFmtId="166" formatCode="\+#,##0.0;\-#,##0.0;0.0"/>
  </numFmts>
  <fonts count="23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theme="5" tint="-0.249977111117893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/>
    <xf numFmtId="0" fontId="12" fillId="0" borderId="2" xfId="0" applyFont="1" applyFill="1" applyBorder="1"/>
    <xf numFmtId="164" fontId="14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/>
    <xf numFmtId="0" fontId="14" fillId="0" borderId="1" xfId="0" applyFont="1" applyFill="1" applyBorder="1" applyAlignment="1">
      <alignment horizontal="left" vertical="center" wrapText="1" indent="1"/>
    </xf>
    <xf numFmtId="164" fontId="14" fillId="0" borderId="0" xfId="0" applyNumberFormat="1" applyFont="1" applyFill="1" applyAlignment="1">
      <alignment horizontal="right" vertical="center"/>
    </xf>
    <xf numFmtId="164" fontId="14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right" vertical="center"/>
    </xf>
    <xf numFmtId="165" fontId="10" fillId="0" borderId="3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164" fontId="14" fillId="0" borderId="5" xfId="0" applyNumberFormat="1" applyFont="1" applyFill="1" applyBorder="1" applyAlignment="1">
      <alignment horizontal="right" vertical="center"/>
    </xf>
    <xf numFmtId="164" fontId="6" fillId="2" borderId="12" xfId="0" applyNumberFormat="1" applyFont="1" applyFill="1" applyBorder="1" applyAlignment="1">
      <alignment horizontal="right" vertical="center"/>
    </xf>
    <xf numFmtId="165" fontId="9" fillId="2" borderId="13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5" fontId="10" fillId="0" borderId="13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14" fillId="0" borderId="12" xfId="0" applyNumberFormat="1" applyFont="1" applyFill="1" applyBorder="1" applyAlignment="1">
      <alignment horizontal="right" vertical="center"/>
    </xf>
    <xf numFmtId="164" fontId="14" fillId="0" borderId="3" xfId="0" applyNumberFormat="1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5" fontId="9" fillId="2" borderId="16" xfId="0" applyNumberFormat="1" applyFont="1" applyFill="1" applyBorder="1" applyAlignment="1">
      <alignment horizontal="right" vertical="center"/>
    </xf>
    <xf numFmtId="165" fontId="9" fillId="2" borderId="17" xfId="0" applyNumberFormat="1" applyFont="1" applyFill="1" applyBorder="1" applyAlignment="1">
      <alignment horizontal="right" vertical="center"/>
    </xf>
    <xf numFmtId="164" fontId="4" fillId="2" borderId="18" xfId="0" applyNumberFormat="1" applyFont="1" applyFill="1" applyBorder="1" applyAlignment="1">
      <alignment horizontal="right" vertical="center"/>
    </xf>
    <xf numFmtId="164" fontId="6" fillId="2" borderId="19" xfId="0" applyNumberFormat="1" applyFont="1" applyFill="1" applyBorder="1" applyAlignment="1">
      <alignment horizontal="right" vertical="center"/>
    </xf>
    <xf numFmtId="165" fontId="9" fillId="2" borderId="20" xfId="0" applyNumberFormat="1" applyFont="1" applyFill="1" applyBorder="1" applyAlignment="1">
      <alignment horizontal="right" vertical="center"/>
    </xf>
    <xf numFmtId="164" fontId="6" fillId="2" borderId="2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16" fillId="2" borderId="1" xfId="0" applyFont="1" applyFill="1" applyBorder="1" applyAlignment="1">
      <alignment horizontal="left" vertical="center" wrapText="1"/>
    </xf>
    <xf numFmtId="166" fontId="17" fillId="2" borderId="8" xfId="0" applyNumberFormat="1" applyFont="1" applyFill="1" applyBorder="1" applyAlignment="1">
      <alignment horizontal="right" vertical="center"/>
    </xf>
    <xf numFmtId="166" fontId="18" fillId="0" borderId="1" xfId="0" applyNumberFormat="1" applyFont="1" applyFill="1" applyBorder="1" applyAlignment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166" fontId="22" fillId="2" borderId="1" xfId="0" applyNumberFormat="1" applyFont="1" applyFill="1" applyBorder="1" applyAlignment="1">
      <alignment horizontal="right" vertical="center"/>
    </xf>
    <xf numFmtId="166" fontId="17" fillId="2" borderId="1" xfId="0" applyNumberFormat="1" applyFont="1" applyFill="1" applyBorder="1" applyAlignment="1">
      <alignment horizontal="right" vertical="center"/>
    </xf>
    <xf numFmtId="166" fontId="19" fillId="2" borderId="15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right" vertical="top"/>
    </xf>
    <xf numFmtId="0" fontId="0" fillId="0" borderId="0" xfId="0" applyAlignment="1"/>
    <xf numFmtId="0" fontId="8" fillId="0" borderId="0" xfId="0" applyFont="1" applyFill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65" fontId="9" fillId="2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65" fontId="9" fillId="2" borderId="9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tabSelected="1" zoomScale="115" zoomScaleNormal="115" zoomScaleSheetLayoutView="70" workbookViewId="0">
      <pane xSplit="3" ySplit="5" topLeftCell="D9" activePane="bottomRight" state="frozen"/>
      <selection pane="topRight" activeCell="D1" sqref="D1"/>
      <selection pane="bottomLeft" activeCell="A6" sqref="A6"/>
      <selection pane="bottomRight" activeCell="J127" sqref="J127"/>
    </sheetView>
  </sheetViews>
  <sheetFormatPr defaultRowHeight="12" x14ac:dyDescent="0.2"/>
  <cols>
    <col min="1" max="1" width="87.85546875" style="1" customWidth="1"/>
    <col min="2" max="3" width="2.85546875" style="1" customWidth="1"/>
    <col min="4" max="4" width="11.42578125" style="14" customWidth="1"/>
    <col min="5" max="7" width="11.42578125" style="1" customWidth="1"/>
    <col min="8" max="8" width="10.42578125" style="1" customWidth="1"/>
    <col min="9" max="9" width="11.42578125" style="1" customWidth="1"/>
    <col min="10" max="10" width="8.5703125" style="1" customWidth="1"/>
    <col min="11" max="11" width="10.42578125" style="1" customWidth="1"/>
    <col min="12" max="12" width="11.42578125" style="1" customWidth="1"/>
    <col min="13" max="13" width="7.42578125" style="1" customWidth="1"/>
    <col min="14" max="14" width="10.42578125" style="1" customWidth="1"/>
    <col min="15" max="15" width="11.42578125" style="1" customWidth="1"/>
    <col min="16" max="16" width="7.42578125" style="1" customWidth="1"/>
    <col min="17" max="18" width="10.42578125" style="1" customWidth="1"/>
    <col min="19" max="16384" width="9.140625" style="1"/>
  </cols>
  <sheetData>
    <row r="1" spans="1:18" ht="15.75" x14ac:dyDescent="0.2">
      <c r="A1" s="60" t="s">
        <v>116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8" ht="15.75" x14ac:dyDescent="0.2">
      <c r="A2" s="62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1"/>
    </row>
    <row r="4" spans="1:18" ht="39" customHeight="1" thickBot="1" x14ac:dyDescent="0.25">
      <c r="A4" s="66" t="s">
        <v>128</v>
      </c>
      <c r="B4" s="65" t="s">
        <v>114</v>
      </c>
      <c r="C4" s="65"/>
      <c r="D4" s="64" t="s">
        <v>117</v>
      </c>
      <c r="E4" s="74" t="s">
        <v>118</v>
      </c>
      <c r="F4" s="75"/>
      <c r="G4" s="76"/>
      <c r="H4" s="67" t="s">
        <v>129</v>
      </c>
      <c r="I4" s="67"/>
      <c r="J4" s="67"/>
      <c r="K4" s="67"/>
      <c r="L4" s="67"/>
      <c r="M4" s="67"/>
      <c r="N4" s="67"/>
      <c r="O4" s="67"/>
      <c r="P4" s="68"/>
    </row>
    <row r="5" spans="1:18" ht="39" customHeight="1" thickBot="1" x14ac:dyDescent="0.25">
      <c r="A5" s="66"/>
      <c r="B5" s="2" t="s">
        <v>108</v>
      </c>
      <c r="C5" s="2" t="s">
        <v>115</v>
      </c>
      <c r="D5" s="64"/>
      <c r="E5" s="47" t="s">
        <v>112</v>
      </c>
      <c r="F5" s="47" t="s">
        <v>113</v>
      </c>
      <c r="G5" s="48" t="s">
        <v>119</v>
      </c>
      <c r="H5" s="69" t="s">
        <v>112</v>
      </c>
      <c r="I5" s="70"/>
      <c r="J5" s="71"/>
      <c r="K5" s="69" t="s">
        <v>113</v>
      </c>
      <c r="L5" s="70"/>
      <c r="M5" s="72"/>
      <c r="N5" s="73" t="s">
        <v>119</v>
      </c>
      <c r="O5" s="70"/>
      <c r="P5" s="72"/>
    </row>
    <row r="6" spans="1:18" s="19" customFormat="1" ht="24.75" customHeight="1" x14ac:dyDescent="0.2">
      <c r="A6" s="23" t="s">
        <v>0</v>
      </c>
      <c r="B6" s="24" t="s">
        <v>130</v>
      </c>
      <c r="C6" s="24" t="s">
        <v>131</v>
      </c>
      <c r="D6" s="77">
        <v>13909893.5</v>
      </c>
      <c r="E6" s="22">
        <f>1210550+13315986.5</f>
        <v>14526536.5</v>
      </c>
      <c r="F6" s="22">
        <f>971806.1+13208435.2</f>
        <v>14180241.299999999</v>
      </c>
      <c r="G6" s="39">
        <f>204655.7+15132619.6</f>
        <v>15337275.299999999</v>
      </c>
      <c r="H6" s="44">
        <v>14526536.5</v>
      </c>
      <c r="I6" s="51">
        <f>H6-E6</f>
        <v>0</v>
      </c>
      <c r="J6" s="80">
        <f>IF(D6=0,"-",H6/D6-1)</f>
        <v>4.4331252428352563E-2</v>
      </c>
      <c r="K6" s="44">
        <v>14180241.300000001</v>
      </c>
      <c r="L6" s="51">
        <f>K6-F6</f>
        <v>0</v>
      </c>
      <c r="M6" s="45">
        <f>IF(H6=0,"-",K6/H6-1)</f>
        <v>-2.3838800115911996E-2</v>
      </c>
      <c r="N6" s="46">
        <v>15337275.300000001</v>
      </c>
      <c r="O6" s="51">
        <f>N6-G6</f>
        <v>0</v>
      </c>
      <c r="P6" s="45">
        <f>IF(K6=0,"-",N6/K6-1)</f>
        <v>8.1594803326795251E-2</v>
      </c>
      <c r="Q6" s="16"/>
      <c r="R6" s="16"/>
    </row>
    <row r="7" spans="1:18" s="19" customFormat="1" ht="24.75" customHeight="1" x14ac:dyDescent="0.2">
      <c r="A7" s="49" t="s">
        <v>132</v>
      </c>
      <c r="B7" s="3" t="s">
        <v>130</v>
      </c>
      <c r="C7" s="3" t="s">
        <v>133</v>
      </c>
      <c r="D7" s="78"/>
      <c r="E7" s="12" t="s">
        <v>194</v>
      </c>
      <c r="F7" s="12" t="s">
        <v>194</v>
      </c>
      <c r="G7" s="38" t="s">
        <v>194</v>
      </c>
      <c r="H7" s="34">
        <v>7493565.9000000004</v>
      </c>
      <c r="I7" s="52" t="s">
        <v>194</v>
      </c>
      <c r="J7" s="81"/>
      <c r="K7" s="34">
        <v>6885884.7000000002</v>
      </c>
      <c r="L7" s="52" t="s">
        <v>194</v>
      </c>
      <c r="M7" s="35">
        <f t="shared" ref="M7:M70" si="0">IF(H7=0,"-",K7/H7-1)</f>
        <v>-8.1093728687966826E-2</v>
      </c>
      <c r="N7" s="29">
        <v>7834140.7000000002</v>
      </c>
      <c r="O7" s="52" t="s">
        <v>194</v>
      </c>
      <c r="P7" s="35">
        <f t="shared" ref="P7:P70" si="1">IF(K7=0,"-",N7/K7-1)</f>
        <v>0.13771011878836714</v>
      </c>
      <c r="Q7" s="4"/>
      <c r="R7" s="4"/>
    </row>
    <row r="8" spans="1:18" s="19" customFormat="1" ht="24.75" customHeight="1" x14ac:dyDescent="0.2">
      <c r="A8" s="49" t="s">
        <v>134</v>
      </c>
      <c r="B8" s="3" t="s">
        <v>130</v>
      </c>
      <c r="C8" s="3" t="s">
        <v>135</v>
      </c>
      <c r="D8" s="78"/>
      <c r="E8" s="12" t="s">
        <v>194</v>
      </c>
      <c r="F8" s="12" t="s">
        <v>194</v>
      </c>
      <c r="G8" s="38" t="s">
        <v>194</v>
      </c>
      <c r="H8" s="34">
        <v>239844.8</v>
      </c>
      <c r="I8" s="52" t="s">
        <v>194</v>
      </c>
      <c r="J8" s="81"/>
      <c r="K8" s="34">
        <v>250127.8</v>
      </c>
      <c r="L8" s="52" t="s">
        <v>194</v>
      </c>
      <c r="M8" s="35">
        <f t="shared" si="0"/>
        <v>4.2873558234324927E-2</v>
      </c>
      <c r="N8" s="29">
        <v>259059.8</v>
      </c>
      <c r="O8" s="52" t="s">
        <v>194</v>
      </c>
      <c r="P8" s="35">
        <f t="shared" si="1"/>
        <v>3.5709745178264862E-2</v>
      </c>
      <c r="Q8" s="4"/>
      <c r="R8" s="4"/>
    </row>
    <row r="9" spans="1:18" s="19" customFormat="1" ht="24.75" customHeight="1" x14ac:dyDescent="0.2">
      <c r="A9" s="49" t="s">
        <v>136</v>
      </c>
      <c r="B9" s="3" t="s">
        <v>130</v>
      </c>
      <c r="C9" s="3" t="s">
        <v>137</v>
      </c>
      <c r="D9" s="78"/>
      <c r="E9" s="12" t="s">
        <v>194</v>
      </c>
      <c r="F9" s="12" t="s">
        <v>194</v>
      </c>
      <c r="G9" s="38" t="s">
        <v>194</v>
      </c>
      <c r="H9" s="34">
        <v>268104.59999999998</v>
      </c>
      <c r="I9" s="52" t="s">
        <v>194</v>
      </c>
      <c r="J9" s="81"/>
      <c r="K9" s="34">
        <v>273203.40000000002</v>
      </c>
      <c r="L9" s="52" t="s">
        <v>194</v>
      </c>
      <c r="M9" s="35">
        <f t="shared" si="0"/>
        <v>1.9017950456650334E-2</v>
      </c>
      <c r="N9" s="29">
        <v>286805.3</v>
      </c>
      <c r="O9" s="52" t="s">
        <v>194</v>
      </c>
      <c r="P9" s="35">
        <f t="shared" si="1"/>
        <v>4.9786715685090188E-2</v>
      </c>
      <c r="Q9" s="4"/>
      <c r="R9" s="4"/>
    </row>
    <row r="10" spans="1:18" s="19" customFormat="1" ht="24.75" customHeight="1" x14ac:dyDescent="0.2">
      <c r="A10" s="49" t="s">
        <v>1</v>
      </c>
      <c r="B10" s="3" t="s">
        <v>130</v>
      </c>
      <c r="C10" s="3" t="s">
        <v>138</v>
      </c>
      <c r="D10" s="78"/>
      <c r="E10" s="12" t="s">
        <v>194</v>
      </c>
      <c r="F10" s="12" t="s">
        <v>194</v>
      </c>
      <c r="G10" s="38" t="s">
        <v>194</v>
      </c>
      <c r="H10" s="34">
        <v>123762.2</v>
      </c>
      <c r="I10" s="52" t="s">
        <v>194</v>
      </c>
      <c r="J10" s="81"/>
      <c r="K10" s="34">
        <v>128307</v>
      </c>
      <c r="L10" s="52" t="s">
        <v>194</v>
      </c>
      <c r="M10" s="35">
        <f t="shared" si="0"/>
        <v>3.6722036292179627E-2</v>
      </c>
      <c r="N10" s="29">
        <v>133031.70000000001</v>
      </c>
      <c r="O10" s="52" t="s">
        <v>194</v>
      </c>
      <c r="P10" s="35">
        <f t="shared" si="1"/>
        <v>3.6823400126259731E-2</v>
      </c>
      <c r="Q10" s="4"/>
      <c r="R10" s="4"/>
    </row>
    <row r="11" spans="1:18" s="19" customFormat="1" ht="24.75" customHeight="1" x14ac:dyDescent="0.2">
      <c r="A11" s="49" t="s">
        <v>139</v>
      </c>
      <c r="B11" s="3" t="s">
        <v>130</v>
      </c>
      <c r="C11" s="3" t="s">
        <v>140</v>
      </c>
      <c r="D11" s="78"/>
      <c r="E11" s="12" t="s">
        <v>194</v>
      </c>
      <c r="F11" s="12" t="s">
        <v>194</v>
      </c>
      <c r="G11" s="38" t="s">
        <v>194</v>
      </c>
      <c r="H11" s="34">
        <v>191694.8</v>
      </c>
      <c r="I11" s="52" t="s">
        <v>194</v>
      </c>
      <c r="J11" s="81"/>
      <c r="K11" s="34">
        <v>202685</v>
      </c>
      <c r="L11" s="52" t="s">
        <v>194</v>
      </c>
      <c r="M11" s="35">
        <f t="shared" si="0"/>
        <v>5.7331758607954031E-2</v>
      </c>
      <c r="N11" s="29">
        <v>212803</v>
      </c>
      <c r="O11" s="52" t="s">
        <v>194</v>
      </c>
      <c r="P11" s="35">
        <f t="shared" si="1"/>
        <v>4.9919826331499717E-2</v>
      </c>
      <c r="Q11" s="4"/>
      <c r="R11" s="4"/>
    </row>
    <row r="12" spans="1:18" s="19" customFormat="1" ht="24.75" customHeight="1" x14ac:dyDescent="0.2">
      <c r="A12" s="49" t="s">
        <v>20</v>
      </c>
      <c r="B12" s="3" t="s">
        <v>130</v>
      </c>
      <c r="C12" s="3" t="s">
        <v>141</v>
      </c>
      <c r="D12" s="79"/>
      <c r="E12" s="12" t="s">
        <v>194</v>
      </c>
      <c r="F12" s="12" t="s">
        <v>194</v>
      </c>
      <c r="G12" s="38" t="s">
        <v>194</v>
      </c>
      <c r="H12" s="34">
        <v>6209564.2000000002</v>
      </c>
      <c r="I12" s="52" t="s">
        <v>194</v>
      </c>
      <c r="J12" s="82"/>
      <c r="K12" s="34">
        <v>6440033.4000000004</v>
      </c>
      <c r="L12" s="52" t="s">
        <v>194</v>
      </c>
      <c r="M12" s="35">
        <f t="shared" si="0"/>
        <v>3.7115197230749297E-2</v>
      </c>
      <c r="N12" s="29">
        <v>6611434.7999999998</v>
      </c>
      <c r="O12" s="52" t="s">
        <v>194</v>
      </c>
      <c r="P12" s="35">
        <f t="shared" si="1"/>
        <v>2.6614986189357204E-2</v>
      </c>
      <c r="Q12" s="4"/>
      <c r="R12" s="4"/>
    </row>
    <row r="13" spans="1:18" s="19" customFormat="1" ht="24.75" customHeight="1" x14ac:dyDescent="0.2">
      <c r="A13" s="21" t="s">
        <v>5</v>
      </c>
      <c r="B13" s="25" t="s">
        <v>142</v>
      </c>
      <c r="C13" s="25" t="s">
        <v>131</v>
      </c>
      <c r="D13" s="22">
        <v>18267155.800000001</v>
      </c>
      <c r="E13" s="22">
        <f>468635.8+20199834.5</f>
        <v>20668470.300000001</v>
      </c>
      <c r="F13" s="22">
        <f>213264.4+20199256.8</f>
        <v>20412521.199999999</v>
      </c>
      <c r="G13" s="39">
        <f>9014.4+18882488.9</f>
        <v>18891503.299999997</v>
      </c>
      <c r="H13" s="36">
        <v>20668470.300000001</v>
      </c>
      <c r="I13" s="53">
        <f t="shared" ref="I13:I67" si="2">H13-E13</f>
        <v>0</v>
      </c>
      <c r="J13" s="26">
        <f t="shared" ref="J13:J70" si="3">IF(D13=0,"-",H13/D13-1)</f>
        <v>0.13145530296511732</v>
      </c>
      <c r="K13" s="36">
        <v>20412521.199999999</v>
      </c>
      <c r="L13" s="53">
        <f t="shared" ref="L13:L67" si="4">K13-F13</f>
        <v>0</v>
      </c>
      <c r="M13" s="33">
        <f t="shared" si="0"/>
        <v>-1.2383553126328883E-2</v>
      </c>
      <c r="N13" s="30">
        <v>18891503.300000001</v>
      </c>
      <c r="O13" s="53">
        <f t="shared" ref="O13:O67" si="5">N13-G13</f>
        <v>0</v>
      </c>
      <c r="P13" s="33">
        <f t="shared" si="1"/>
        <v>-7.4513965477228661E-2</v>
      </c>
      <c r="Q13" s="4"/>
      <c r="R13" s="4"/>
    </row>
    <row r="14" spans="1:18" s="19" customFormat="1" ht="24.75" customHeight="1" x14ac:dyDescent="0.2">
      <c r="A14" s="8" t="s">
        <v>6</v>
      </c>
      <c r="B14" s="3" t="s">
        <v>142</v>
      </c>
      <c r="C14" s="3" t="s">
        <v>133</v>
      </c>
      <c r="D14" s="12">
        <v>5252341</v>
      </c>
      <c r="E14" s="12" t="s">
        <v>194</v>
      </c>
      <c r="F14" s="12" t="s">
        <v>194</v>
      </c>
      <c r="G14" s="38" t="s">
        <v>194</v>
      </c>
      <c r="H14" s="34">
        <v>6616899.5999999996</v>
      </c>
      <c r="I14" s="52" t="s">
        <v>194</v>
      </c>
      <c r="J14" s="27">
        <f t="shared" si="3"/>
        <v>0.25980007771772629</v>
      </c>
      <c r="K14" s="34">
        <v>6267575.7999999998</v>
      </c>
      <c r="L14" s="52" t="s">
        <v>194</v>
      </c>
      <c r="M14" s="35">
        <f t="shared" si="0"/>
        <v>-5.2792670452488033E-2</v>
      </c>
      <c r="N14" s="29">
        <v>5644931</v>
      </c>
      <c r="O14" s="52" t="s">
        <v>194</v>
      </c>
      <c r="P14" s="35">
        <f t="shared" si="1"/>
        <v>-9.9343800516939917E-2</v>
      </c>
      <c r="Q14" s="4"/>
      <c r="R14" s="4"/>
    </row>
    <row r="15" spans="1:18" s="19" customFormat="1" ht="24.75" customHeight="1" x14ac:dyDescent="0.2">
      <c r="A15" s="15" t="s">
        <v>7</v>
      </c>
      <c r="B15" s="3" t="s">
        <v>142</v>
      </c>
      <c r="C15" s="3" t="s">
        <v>135</v>
      </c>
      <c r="D15" s="12">
        <v>9425429.9000000004</v>
      </c>
      <c r="E15" s="12" t="s">
        <v>194</v>
      </c>
      <c r="F15" s="12" t="s">
        <v>194</v>
      </c>
      <c r="G15" s="38" t="s">
        <v>194</v>
      </c>
      <c r="H15" s="34">
        <v>10738975.6</v>
      </c>
      <c r="I15" s="52" t="s">
        <v>194</v>
      </c>
      <c r="J15" s="27">
        <f t="shared" si="3"/>
        <v>0.1393618873553979</v>
      </c>
      <c r="K15" s="34">
        <v>11007008</v>
      </c>
      <c r="L15" s="52" t="s">
        <v>194</v>
      </c>
      <c r="M15" s="35">
        <f t="shared" si="0"/>
        <v>2.4958842443035367E-2</v>
      </c>
      <c r="N15" s="29">
        <v>10038094.800000001</v>
      </c>
      <c r="O15" s="52" t="s">
        <v>194</v>
      </c>
      <c r="P15" s="35">
        <f t="shared" si="1"/>
        <v>-8.802693702048725E-2</v>
      </c>
      <c r="Q15" s="4"/>
      <c r="R15" s="4"/>
    </row>
    <row r="16" spans="1:18" s="19" customFormat="1" ht="24.75" customHeight="1" x14ac:dyDescent="0.2">
      <c r="A16" s="8" t="s">
        <v>8</v>
      </c>
      <c r="B16" s="3" t="s">
        <v>142</v>
      </c>
      <c r="C16" s="3" t="s">
        <v>137</v>
      </c>
      <c r="D16" s="12">
        <v>2218973.2999999998</v>
      </c>
      <c r="E16" s="12" t="s">
        <v>194</v>
      </c>
      <c r="F16" s="12" t="s">
        <v>194</v>
      </c>
      <c r="G16" s="38" t="s">
        <v>194</v>
      </c>
      <c r="H16" s="34">
        <v>2431740.5</v>
      </c>
      <c r="I16" s="52" t="s">
        <v>194</v>
      </c>
      <c r="J16" s="27">
        <f t="shared" si="3"/>
        <v>9.5885425930992696E-2</v>
      </c>
      <c r="K16" s="34">
        <v>2487857</v>
      </c>
      <c r="L16" s="52" t="s">
        <v>194</v>
      </c>
      <c r="M16" s="35">
        <f t="shared" si="0"/>
        <v>2.3076681085008932E-2</v>
      </c>
      <c r="N16" s="29">
        <v>2620076.7000000002</v>
      </c>
      <c r="O16" s="52" t="s">
        <v>194</v>
      </c>
      <c r="P16" s="35">
        <f t="shared" si="1"/>
        <v>5.3146020852484765E-2</v>
      </c>
      <c r="Q16" s="4"/>
      <c r="R16" s="4"/>
    </row>
    <row r="17" spans="1:18" s="19" customFormat="1" ht="24.75" customHeight="1" x14ac:dyDescent="0.2">
      <c r="A17" s="8" t="s">
        <v>9</v>
      </c>
      <c r="B17" s="3" t="s">
        <v>142</v>
      </c>
      <c r="C17" s="3" t="s">
        <v>138</v>
      </c>
      <c r="D17" s="12">
        <v>100245.9</v>
      </c>
      <c r="E17" s="12" t="s">
        <v>194</v>
      </c>
      <c r="F17" s="12" t="s">
        <v>194</v>
      </c>
      <c r="G17" s="38" t="s">
        <v>194</v>
      </c>
      <c r="H17" s="34">
        <v>123858.6</v>
      </c>
      <c r="I17" s="52" t="s">
        <v>194</v>
      </c>
      <c r="J17" s="27">
        <f t="shared" si="3"/>
        <v>0.2355477879893344</v>
      </c>
      <c r="K17" s="34">
        <v>111148.2</v>
      </c>
      <c r="L17" s="52" t="s">
        <v>194</v>
      </c>
      <c r="M17" s="35">
        <f t="shared" si="0"/>
        <v>-0.1026202459901856</v>
      </c>
      <c r="N17" s="29">
        <v>113779.7</v>
      </c>
      <c r="O17" s="52" t="s">
        <v>194</v>
      </c>
      <c r="P17" s="35">
        <f t="shared" si="1"/>
        <v>2.3675597085692779E-2</v>
      </c>
      <c r="Q17" s="4"/>
      <c r="R17" s="4"/>
    </row>
    <row r="18" spans="1:18" s="19" customFormat="1" ht="24.75" customHeight="1" x14ac:dyDescent="0.2">
      <c r="A18" s="8" t="s">
        <v>10</v>
      </c>
      <c r="B18" s="3" t="s">
        <v>142</v>
      </c>
      <c r="C18" s="3" t="s">
        <v>140</v>
      </c>
      <c r="D18" s="12">
        <v>198551.6</v>
      </c>
      <c r="E18" s="12" t="s">
        <v>194</v>
      </c>
      <c r="F18" s="12" t="s">
        <v>194</v>
      </c>
      <c r="G18" s="38" t="s">
        <v>194</v>
      </c>
      <c r="H18" s="34">
        <v>208376.2</v>
      </c>
      <c r="I18" s="52" t="s">
        <v>194</v>
      </c>
      <c r="J18" s="27">
        <f t="shared" si="3"/>
        <v>4.9481343892469276E-2</v>
      </c>
      <c r="K18" s="34">
        <v>212152.7</v>
      </c>
      <c r="L18" s="52" t="s">
        <v>194</v>
      </c>
      <c r="M18" s="35">
        <f t="shared" si="0"/>
        <v>1.8123470914624518E-2</v>
      </c>
      <c r="N18" s="29">
        <v>222974.7</v>
      </c>
      <c r="O18" s="52" t="s">
        <v>194</v>
      </c>
      <c r="P18" s="35">
        <f t="shared" si="1"/>
        <v>5.1010427866343466E-2</v>
      </c>
      <c r="Q18" s="4"/>
      <c r="R18" s="4"/>
    </row>
    <row r="19" spans="1:18" s="19" customFormat="1" ht="24.75" customHeight="1" x14ac:dyDescent="0.2">
      <c r="A19" s="8" t="s">
        <v>11</v>
      </c>
      <c r="B19" s="3" t="s">
        <v>142</v>
      </c>
      <c r="C19" s="3" t="s">
        <v>141</v>
      </c>
      <c r="D19" s="12">
        <v>80</v>
      </c>
      <c r="E19" s="12" t="s">
        <v>194</v>
      </c>
      <c r="F19" s="12" t="s">
        <v>194</v>
      </c>
      <c r="G19" s="38" t="s">
        <v>194</v>
      </c>
      <c r="H19" s="34">
        <v>95</v>
      </c>
      <c r="I19" s="52" t="s">
        <v>194</v>
      </c>
      <c r="J19" s="27">
        <f t="shared" si="3"/>
        <v>0.1875</v>
      </c>
      <c r="K19" s="34">
        <v>95</v>
      </c>
      <c r="L19" s="52" t="s">
        <v>194</v>
      </c>
      <c r="M19" s="35">
        <f t="shared" si="0"/>
        <v>0</v>
      </c>
      <c r="N19" s="29">
        <v>95</v>
      </c>
      <c r="O19" s="52" t="s">
        <v>194</v>
      </c>
      <c r="P19" s="35">
        <f t="shared" si="1"/>
        <v>0</v>
      </c>
      <c r="Q19" s="4"/>
      <c r="R19" s="4"/>
    </row>
    <row r="20" spans="1:18" s="19" customFormat="1" ht="24.75" customHeight="1" x14ac:dyDescent="0.2">
      <c r="A20" s="15" t="s">
        <v>4</v>
      </c>
      <c r="B20" s="18" t="s">
        <v>142</v>
      </c>
      <c r="C20" s="18" t="s">
        <v>143</v>
      </c>
      <c r="D20" s="12">
        <v>249669.2</v>
      </c>
      <c r="E20" s="12" t="s">
        <v>194</v>
      </c>
      <c r="F20" s="12" t="s">
        <v>194</v>
      </c>
      <c r="G20" s="38" t="s">
        <v>194</v>
      </c>
      <c r="H20" s="37">
        <v>257031.3</v>
      </c>
      <c r="I20" s="54" t="s">
        <v>194</v>
      </c>
      <c r="J20" s="27">
        <f t="shared" si="3"/>
        <v>2.9487417751168143E-2</v>
      </c>
      <c r="K20" s="37">
        <v>252050.3</v>
      </c>
      <c r="L20" s="54" t="s">
        <v>194</v>
      </c>
      <c r="M20" s="35">
        <f t="shared" si="0"/>
        <v>-1.9378962795581711E-2</v>
      </c>
      <c r="N20" s="31">
        <v>249048.9</v>
      </c>
      <c r="O20" s="54" t="s">
        <v>194</v>
      </c>
      <c r="P20" s="35">
        <f t="shared" si="1"/>
        <v>-1.1907940597571165E-2</v>
      </c>
      <c r="Q20" s="16"/>
      <c r="R20" s="16"/>
    </row>
    <row r="21" spans="1:18" s="19" customFormat="1" ht="24.75" customHeight="1" x14ac:dyDescent="0.2">
      <c r="A21" s="8" t="s">
        <v>12</v>
      </c>
      <c r="B21" s="3" t="s">
        <v>142</v>
      </c>
      <c r="C21" s="3" t="s">
        <v>144</v>
      </c>
      <c r="D21" s="12">
        <v>821864.9</v>
      </c>
      <c r="E21" s="12" t="s">
        <v>194</v>
      </c>
      <c r="F21" s="12" t="s">
        <v>194</v>
      </c>
      <c r="G21" s="38" t="s">
        <v>194</v>
      </c>
      <c r="H21" s="34">
        <v>291493.5</v>
      </c>
      <c r="I21" s="52" t="s">
        <v>194</v>
      </c>
      <c r="J21" s="27">
        <f t="shared" si="3"/>
        <v>-0.64532674409139501</v>
      </c>
      <c r="K21" s="34">
        <v>74634.2</v>
      </c>
      <c r="L21" s="52" t="s">
        <v>194</v>
      </c>
      <c r="M21" s="35">
        <f t="shared" si="0"/>
        <v>-0.74395929926396298</v>
      </c>
      <c r="N21" s="29">
        <v>2502.5</v>
      </c>
      <c r="O21" s="52" t="s">
        <v>194</v>
      </c>
      <c r="P21" s="35">
        <f t="shared" si="1"/>
        <v>-0.96646979534851318</v>
      </c>
      <c r="Q21" s="4"/>
      <c r="R21" s="4"/>
    </row>
    <row r="22" spans="1:18" s="19" customFormat="1" ht="24.75" customHeight="1" x14ac:dyDescent="0.2">
      <c r="A22" s="21" t="s">
        <v>13</v>
      </c>
      <c r="B22" s="25" t="s">
        <v>145</v>
      </c>
      <c r="C22" s="25" t="s">
        <v>131</v>
      </c>
      <c r="D22" s="22">
        <v>1718088.9</v>
      </c>
      <c r="E22" s="22">
        <f>187481.2+1466897.3</f>
        <v>1654378.5</v>
      </c>
      <c r="F22" s="22">
        <f>2420.6+1438381.2</f>
        <v>1440801.8</v>
      </c>
      <c r="G22" s="39">
        <f>2517.5+1402941</f>
        <v>1405458.5</v>
      </c>
      <c r="H22" s="36">
        <v>1654378.5</v>
      </c>
      <c r="I22" s="53">
        <f t="shared" si="2"/>
        <v>0</v>
      </c>
      <c r="J22" s="26">
        <f t="shared" si="3"/>
        <v>-3.7082132362300846E-2</v>
      </c>
      <c r="K22" s="36">
        <v>1440801.8</v>
      </c>
      <c r="L22" s="53">
        <f t="shared" si="4"/>
        <v>0</v>
      </c>
      <c r="M22" s="33">
        <f t="shared" si="0"/>
        <v>-0.12909784550512471</v>
      </c>
      <c r="N22" s="30">
        <v>1405458.5</v>
      </c>
      <c r="O22" s="53">
        <f t="shared" si="5"/>
        <v>0</v>
      </c>
      <c r="P22" s="33">
        <f t="shared" si="1"/>
        <v>-2.4530299726166382E-2</v>
      </c>
      <c r="Q22" s="4"/>
      <c r="R22" s="4"/>
    </row>
    <row r="23" spans="1:18" s="19" customFormat="1" ht="24.75" customHeight="1" x14ac:dyDescent="0.2">
      <c r="A23" s="8" t="s">
        <v>14</v>
      </c>
      <c r="B23" s="3" t="s">
        <v>145</v>
      </c>
      <c r="C23" s="3" t="s">
        <v>133</v>
      </c>
      <c r="D23" s="12">
        <v>265237</v>
      </c>
      <c r="E23" s="12" t="s">
        <v>194</v>
      </c>
      <c r="F23" s="12" t="s">
        <v>194</v>
      </c>
      <c r="G23" s="38" t="s">
        <v>194</v>
      </c>
      <c r="H23" s="34">
        <v>261509.5</v>
      </c>
      <c r="I23" s="52" t="s">
        <v>194</v>
      </c>
      <c r="J23" s="27">
        <f t="shared" si="3"/>
        <v>-1.4053469161542265E-2</v>
      </c>
      <c r="K23" s="34">
        <v>80782.2</v>
      </c>
      <c r="L23" s="52" t="s">
        <v>194</v>
      </c>
      <c r="M23" s="35">
        <f t="shared" si="0"/>
        <v>-0.69109267540949748</v>
      </c>
      <c r="N23" s="29">
        <v>20944.8</v>
      </c>
      <c r="O23" s="52" t="s">
        <v>194</v>
      </c>
      <c r="P23" s="35">
        <f t="shared" si="1"/>
        <v>-0.74072506071882172</v>
      </c>
      <c r="Q23" s="4"/>
      <c r="R23" s="4"/>
    </row>
    <row r="24" spans="1:18" s="19" customFormat="1" ht="24.75" customHeight="1" x14ac:dyDescent="0.2">
      <c r="A24" s="8" t="s">
        <v>15</v>
      </c>
      <c r="B24" s="3" t="s">
        <v>145</v>
      </c>
      <c r="C24" s="3" t="s">
        <v>135</v>
      </c>
      <c r="D24" s="12">
        <v>146111.5</v>
      </c>
      <c r="E24" s="12" t="s">
        <v>194</v>
      </c>
      <c r="F24" s="12" t="s">
        <v>194</v>
      </c>
      <c r="G24" s="38" t="s">
        <v>194</v>
      </c>
      <c r="H24" s="34">
        <v>161679</v>
      </c>
      <c r="I24" s="52" t="s">
        <v>194</v>
      </c>
      <c r="J24" s="27">
        <f t="shared" si="3"/>
        <v>0.10654534379566294</v>
      </c>
      <c r="K24" s="34">
        <v>154165.70000000001</v>
      </c>
      <c r="L24" s="52" t="s">
        <v>194</v>
      </c>
      <c r="M24" s="35">
        <f t="shared" si="0"/>
        <v>-4.6470475448264659E-2</v>
      </c>
      <c r="N24" s="29">
        <v>156368</v>
      </c>
      <c r="O24" s="52" t="s">
        <v>194</v>
      </c>
      <c r="P24" s="35">
        <f t="shared" si="1"/>
        <v>1.4285278761747788E-2</v>
      </c>
      <c r="Q24" s="4"/>
      <c r="R24" s="4"/>
    </row>
    <row r="25" spans="1:18" s="19" customFormat="1" ht="24.75" customHeight="1" x14ac:dyDescent="0.2">
      <c r="A25" s="8" t="s">
        <v>16</v>
      </c>
      <c r="B25" s="3" t="s">
        <v>145</v>
      </c>
      <c r="C25" s="3" t="s">
        <v>137</v>
      </c>
      <c r="D25" s="12">
        <v>258497.6</v>
      </c>
      <c r="E25" s="12" t="s">
        <v>194</v>
      </c>
      <c r="F25" s="12" t="s">
        <v>194</v>
      </c>
      <c r="G25" s="38" t="s">
        <v>194</v>
      </c>
      <c r="H25" s="34">
        <v>248581.6</v>
      </c>
      <c r="I25" s="52" t="s">
        <v>194</v>
      </c>
      <c r="J25" s="27">
        <f t="shared" si="3"/>
        <v>-3.8360124039836352E-2</v>
      </c>
      <c r="K25" s="34">
        <v>240766.9</v>
      </c>
      <c r="L25" s="52" t="s">
        <v>194</v>
      </c>
      <c r="M25" s="35">
        <f t="shared" si="0"/>
        <v>-3.1437161881651798E-2</v>
      </c>
      <c r="N25" s="29">
        <v>240905.5</v>
      </c>
      <c r="O25" s="52" t="s">
        <v>194</v>
      </c>
      <c r="P25" s="35">
        <f t="shared" si="1"/>
        <v>5.7566052476487606E-4</v>
      </c>
      <c r="Q25" s="4"/>
      <c r="R25" s="4"/>
    </row>
    <row r="26" spans="1:18" s="19" customFormat="1" ht="24.75" customHeight="1" x14ac:dyDescent="0.2">
      <c r="A26" s="8" t="s">
        <v>109</v>
      </c>
      <c r="B26" s="3" t="s">
        <v>145</v>
      </c>
      <c r="C26" s="3" t="s">
        <v>138</v>
      </c>
      <c r="D26" s="12">
        <v>326537.09999999998</v>
      </c>
      <c r="E26" s="12" t="s">
        <v>194</v>
      </c>
      <c r="F26" s="12" t="s">
        <v>194</v>
      </c>
      <c r="G26" s="38" t="s">
        <v>194</v>
      </c>
      <c r="H26" s="34">
        <v>385889.1</v>
      </c>
      <c r="I26" s="52" t="s">
        <v>194</v>
      </c>
      <c r="J26" s="27">
        <f t="shared" si="3"/>
        <v>0.18176188861847553</v>
      </c>
      <c r="K26" s="34">
        <v>374112.2</v>
      </c>
      <c r="L26" s="52" t="s">
        <v>194</v>
      </c>
      <c r="M26" s="35">
        <f t="shared" si="0"/>
        <v>-3.051887187277369E-2</v>
      </c>
      <c r="N26" s="29">
        <v>379538.4</v>
      </c>
      <c r="O26" s="52" t="s">
        <v>194</v>
      </c>
      <c r="P26" s="35">
        <f t="shared" si="1"/>
        <v>1.4504204888266203E-2</v>
      </c>
      <c r="Q26" s="4"/>
      <c r="R26" s="4"/>
    </row>
    <row r="27" spans="1:18" s="19" customFormat="1" ht="24.75" customHeight="1" x14ac:dyDescent="0.2">
      <c r="A27" s="8" t="s">
        <v>17</v>
      </c>
      <c r="B27" s="3" t="s">
        <v>145</v>
      </c>
      <c r="C27" s="3" t="s">
        <v>140</v>
      </c>
      <c r="D27" s="12">
        <v>258864.5</v>
      </c>
      <c r="E27" s="12" t="s">
        <v>194</v>
      </c>
      <c r="F27" s="12" t="s">
        <v>194</v>
      </c>
      <c r="G27" s="38" t="s">
        <v>194</v>
      </c>
      <c r="H27" s="34">
        <v>153679.70000000001</v>
      </c>
      <c r="I27" s="52" t="s">
        <v>194</v>
      </c>
      <c r="J27" s="27">
        <f t="shared" si="3"/>
        <v>-0.40633149775268529</v>
      </c>
      <c r="K27" s="34">
        <v>128382.7</v>
      </c>
      <c r="L27" s="52" t="s">
        <v>194</v>
      </c>
      <c r="M27" s="35">
        <f t="shared" si="0"/>
        <v>-0.16460859827290142</v>
      </c>
      <c r="N27" s="29">
        <v>139068</v>
      </c>
      <c r="O27" s="52" t="s">
        <v>194</v>
      </c>
      <c r="P27" s="35">
        <f t="shared" si="1"/>
        <v>8.323006137119715E-2</v>
      </c>
      <c r="Q27" s="4"/>
      <c r="R27" s="4"/>
    </row>
    <row r="28" spans="1:18" s="19" customFormat="1" ht="24.75" customHeight="1" x14ac:dyDescent="0.2">
      <c r="A28" s="8" t="s">
        <v>18</v>
      </c>
      <c r="B28" s="3" t="s">
        <v>145</v>
      </c>
      <c r="C28" s="3" t="s">
        <v>146</v>
      </c>
      <c r="D28" s="12">
        <v>285846.7</v>
      </c>
      <c r="E28" s="12" t="s">
        <v>194</v>
      </c>
      <c r="F28" s="12" t="s">
        <v>194</v>
      </c>
      <c r="G28" s="38" t="s">
        <v>194</v>
      </c>
      <c r="H28" s="34">
        <v>298189.7</v>
      </c>
      <c r="I28" s="52" t="s">
        <v>194</v>
      </c>
      <c r="J28" s="27">
        <f t="shared" si="3"/>
        <v>4.3180488002835027E-2</v>
      </c>
      <c r="K28" s="34">
        <v>312395</v>
      </c>
      <c r="L28" s="52" t="s">
        <v>194</v>
      </c>
      <c r="M28" s="35">
        <f t="shared" si="0"/>
        <v>4.7638466385659717E-2</v>
      </c>
      <c r="N28" s="29">
        <v>317724.40000000002</v>
      </c>
      <c r="O28" s="52" t="s">
        <v>194</v>
      </c>
      <c r="P28" s="35">
        <f t="shared" si="1"/>
        <v>1.7059812096864579E-2</v>
      </c>
      <c r="Q28" s="4"/>
      <c r="R28" s="4"/>
    </row>
    <row r="29" spans="1:18" s="19" customFormat="1" ht="24.75" customHeight="1" x14ac:dyDescent="0.2">
      <c r="A29" s="15" t="s">
        <v>19</v>
      </c>
      <c r="B29" s="18" t="s">
        <v>145</v>
      </c>
      <c r="C29" s="18" t="s">
        <v>141</v>
      </c>
      <c r="D29" s="12">
        <v>29955</v>
      </c>
      <c r="E29" s="12" t="s">
        <v>194</v>
      </c>
      <c r="F29" s="12" t="s">
        <v>194</v>
      </c>
      <c r="G29" s="38" t="s">
        <v>194</v>
      </c>
      <c r="H29" s="37">
        <v>6405</v>
      </c>
      <c r="I29" s="54" t="s">
        <v>194</v>
      </c>
      <c r="J29" s="27">
        <f t="shared" si="3"/>
        <v>-0.7861792689033551</v>
      </c>
      <c r="K29" s="37">
        <v>6755</v>
      </c>
      <c r="L29" s="54" t="s">
        <v>194</v>
      </c>
      <c r="M29" s="35">
        <f t="shared" si="0"/>
        <v>5.464480874316946E-2</v>
      </c>
      <c r="N29" s="31">
        <v>6905</v>
      </c>
      <c r="O29" s="54" t="s">
        <v>194</v>
      </c>
      <c r="P29" s="35">
        <f t="shared" si="1"/>
        <v>2.2205773501110304E-2</v>
      </c>
      <c r="Q29" s="16"/>
      <c r="R29" s="16"/>
    </row>
    <row r="30" spans="1:18" s="19" customFormat="1" ht="24.75" customHeight="1" x14ac:dyDescent="0.2">
      <c r="A30" s="8" t="s">
        <v>20</v>
      </c>
      <c r="B30" s="3" t="s">
        <v>145</v>
      </c>
      <c r="C30" s="3" t="s">
        <v>143</v>
      </c>
      <c r="D30" s="12">
        <v>70956.800000000003</v>
      </c>
      <c r="E30" s="12" t="s">
        <v>194</v>
      </c>
      <c r="F30" s="12" t="s">
        <v>194</v>
      </c>
      <c r="G30" s="38" t="s">
        <v>194</v>
      </c>
      <c r="H30" s="34">
        <v>63905.8</v>
      </c>
      <c r="I30" s="52" t="s">
        <v>194</v>
      </c>
      <c r="J30" s="27">
        <f t="shared" si="3"/>
        <v>-9.9370321096780012E-2</v>
      </c>
      <c r="K30" s="34">
        <v>63061.3</v>
      </c>
      <c r="L30" s="52" t="s">
        <v>194</v>
      </c>
      <c r="M30" s="35">
        <f t="shared" si="0"/>
        <v>-1.3214762979260053E-2</v>
      </c>
      <c r="N30" s="29">
        <v>63061.3</v>
      </c>
      <c r="O30" s="52" t="s">
        <v>194</v>
      </c>
      <c r="P30" s="35">
        <f t="shared" si="1"/>
        <v>0</v>
      </c>
      <c r="Q30" s="4"/>
      <c r="R30" s="4"/>
    </row>
    <row r="31" spans="1:18" s="19" customFormat="1" ht="24.75" customHeight="1" x14ac:dyDescent="0.2">
      <c r="A31" s="8" t="s">
        <v>21</v>
      </c>
      <c r="B31" s="3" t="s">
        <v>145</v>
      </c>
      <c r="C31" s="3" t="s">
        <v>144</v>
      </c>
      <c r="D31" s="12">
        <v>76082.7</v>
      </c>
      <c r="E31" s="12" t="s">
        <v>194</v>
      </c>
      <c r="F31" s="12" t="s">
        <v>194</v>
      </c>
      <c r="G31" s="38" t="s">
        <v>194</v>
      </c>
      <c r="H31" s="34">
        <v>74539.100000000006</v>
      </c>
      <c r="I31" s="52" t="s">
        <v>194</v>
      </c>
      <c r="J31" s="27">
        <f t="shared" si="3"/>
        <v>-2.0288449279533882E-2</v>
      </c>
      <c r="K31" s="34">
        <v>80380.800000000003</v>
      </c>
      <c r="L31" s="52" t="s">
        <v>194</v>
      </c>
      <c r="M31" s="35">
        <f t="shared" si="0"/>
        <v>7.8370948938208285E-2</v>
      </c>
      <c r="N31" s="29">
        <v>80943.100000000006</v>
      </c>
      <c r="O31" s="52" t="s">
        <v>194</v>
      </c>
      <c r="P31" s="35">
        <f t="shared" si="1"/>
        <v>6.9954516501453679E-3</v>
      </c>
      <c r="Q31" s="4"/>
      <c r="R31" s="4"/>
    </row>
    <row r="32" spans="1:18" s="19" customFormat="1" ht="24.75" customHeight="1" x14ac:dyDescent="0.2">
      <c r="A32" s="21" t="s">
        <v>22</v>
      </c>
      <c r="B32" s="25" t="s">
        <v>147</v>
      </c>
      <c r="C32" s="25" t="s">
        <v>131</v>
      </c>
      <c r="D32" s="22">
        <v>576495.30000000005</v>
      </c>
      <c r="E32" s="22">
        <f>46023.8+655080.5</f>
        <v>701104.3</v>
      </c>
      <c r="F32" s="22">
        <f>39211.6+572262.7</f>
        <v>611474.29999999993</v>
      </c>
      <c r="G32" s="39">
        <f>7853.9+562942</f>
        <v>570795.9</v>
      </c>
      <c r="H32" s="36">
        <v>701104.3</v>
      </c>
      <c r="I32" s="53">
        <f t="shared" si="2"/>
        <v>0</v>
      </c>
      <c r="J32" s="26">
        <f t="shared" si="3"/>
        <v>0.2161492036448518</v>
      </c>
      <c r="K32" s="36">
        <v>611474.30000000005</v>
      </c>
      <c r="L32" s="53">
        <f t="shared" si="4"/>
        <v>0</v>
      </c>
      <c r="M32" s="33">
        <f t="shared" si="0"/>
        <v>-0.12784117855217836</v>
      </c>
      <c r="N32" s="30">
        <v>570795.9</v>
      </c>
      <c r="O32" s="53">
        <f t="shared" si="5"/>
        <v>0</v>
      </c>
      <c r="P32" s="33">
        <f t="shared" si="1"/>
        <v>-6.6525118063015976E-2</v>
      </c>
      <c r="Q32" s="4"/>
      <c r="R32" s="4"/>
    </row>
    <row r="33" spans="1:18" s="19" customFormat="1" ht="24.75" customHeight="1" x14ac:dyDescent="0.2">
      <c r="A33" s="8" t="s">
        <v>23</v>
      </c>
      <c r="B33" s="3" t="s">
        <v>147</v>
      </c>
      <c r="C33" s="3" t="s">
        <v>133</v>
      </c>
      <c r="D33" s="12">
        <v>47558.3</v>
      </c>
      <c r="E33" s="12" t="s">
        <v>194</v>
      </c>
      <c r="F33" s="12" t="s">
        <v>194</v>
      </c>
      <c r="G33" s="38" t="s">
        <v>194</v>
      </c>
      <c r="H33" s="34">
        <v>95135.3</v>
      </c>
      <c r="I33" s="52" t="s">
        <v>194</v>
      </c>
      <c r="J33" s="27">
        <f t="shared" si="3"/>
        <v>1.0003932016072903</v>
      </c>
      <c r="K33" s="34">
        <v>43734.6</v>
      </c>
      <c r="L33" s="52" t="s">
        <v>194</v>
      </c>
      <c r="M33" s="35">
        <f t="shared" si="0"/>
        <v>-0.54029051256473681</v>
      </c>
      <c r="N33" s="29">
        <v>28446.799999999999</v>
      </c>
      <c r="O33" s="52" t="s">
        <v>194</v>
      </c>
      <c r="P33" s="35">
        <f t="shared" si="1"/>
        <v>-0.34955847315397881</v>
      </c>
      <c r="Q33" s="4"/>
      <c r="R33" s="4"/>
    </row>
    <row r="34" spans="1:18" s="19" customFormat="1" ht="24.75" customHeight="1" x14ac:dyDescent="0.2">
      <c r="A34" s="8" t="s">
        <v>24</v>
      </c>
      <c r="B34" s="3" t="s">
        <v>147</v>
      </c>
      <c r="C34" s="3" t="s">
        <v>135</v>
      </c>
      <c r="D34" s="12">
        <v>517649.9</v>
      </c>
      <c r="E34" s="12" t="s">
        <v>194</v>
      </c>
      <c r="F34" s="12" t="s">
        <v>194</v>
      </c>
      <c r="G34" s="38" t="s">
        <v>194</v>
      </c>
      <c r="H34" s="34">
        <v>389333.5</v>
      </c>
      <c r="I34" s="52" t="s">
        <v>194</v>
      </c>
      <c r="J34" s="27">
        <f t="shared" si="3"/>
        <v>-0.24788259400803514</v>
      </c>
      <c r="K34" s="34">
        <v>406791.5</v>
      </c>
      <c r="L34" s="52" t="s">
        <v>194</v>
      </c>
      <c r="M34" s="35">
        <f t="shared" si="0"/>
        <v>4.4840734229137702E-2</v>
      </c>
      <c r="N34" s="29">
        <v>413884.1</v>
      </c>
      <c r="O34" s="52" t="s">
        <v>194</v>
      </c>
      <c r="P34" s="35">
        <f t="shared" si="1"/>
        <v>1.7435467555246387E-2</v>
      </c>
      <c r="Q34" s="4"/>
      <c r="R34" s="4"/>
    </row>
    <row r="35" spans="1:18" s="19" customFormat="1" ht="24.75" customHeight="1" x14ac:dyDescent="0.2">
      <c r="A35" s="8" t="s">
        <v>20</v>
      </c>
      <c r="B35" s="3" t="s">
        <v>147</v>
      </c>
      <c r="C35" s="3" t="s">
        <v>137</v>
      </c>
      <c r="D35" s="12">
        <v>11287.1</v>
      </c>
      <c r="E35" s="12" t="s">
        <v>194</v>
      </c>
      <c r="F35" s="12" t="s">
        <v>194</v>
      </c>
      <c r="G35" s="38" t="s">
        <v>194</v>
      </c>
      <c r="H35" s="34">
        <v>11632.1</v>
      </c>
      <c r="I35" s="52" t="s">
        <v>194</v>
      </c>
      <c r="J35" s="27">
        <f t="shared" si="3"/>
        <v>3.0565867228960597E-2</v>
      </c>
      <c r="K35" s="34">
        <v>11632.1</v>
      </c>
      <c r="L35" s="52" t="s">
        <v>194</v>
      </c>
      <c r="M35" s="35">
        <f t="shared" si="0"/>
        <v>0</v>
      </c>
      <c r="N35" s="29">
        <v>11632.1</v>
      </c>
      <c r="O35" s="52" t="s">
        <v>194</v>
      </c>
      <c r="P35" s="35">
        <f t="shared" si="1"/>
        <v>0</v>
      </c>
      <c r="Q35" s="4"/>
      <c r="R35" s="4"/>
    </row>
    <row r="36" spans="1:18" s="19" customFormat="1" ht="24.75" customHeight="1" x14ac:dyDescent="0.2">
      <c r="A36" s="8" t="s">
        <v>148</v>
      </c>
      <c r="B36" s="3" t="s">
        <v>147</v>
      </c>
      <c r="C36" s="3" t="s">
        <v>138</v>
      </c>
      <c r="D36" s="12">
        <v>0</v>
      </c>
      <c r="E36" s="12" t="s">
        <v>194</v>
      </c>
      <c r="F36" s="12" t="s">
        <v>194</v>
      </c>
      <c r="G36" s="38" t="s">
        <v>194</v>
      </c>
      <c r="H36" s="34">
        <v>205003.4</v>
      </c>
      <c r="I36" s="52" t="s">
        <v>194</v>
      </c>
      <c r="J36" s="27" t="str">
        <f t="shared" si="3"/>
        <v>-</v>
      </c>
      <c r="K36" s="34">
        <v>149316.1</v>
      </c>
      <c r="L36" s="52" t="s">
        <v>194</v>
      </c>
      <c r="M36" s="35">
        <f t="shared" si="0"/>
        <v>-0.27164086059060477</v>
      </c>
      <c r="N36" s="29">
        <v>116832.9</v>
      </c>
      <c r="O36" s="52" t="s">
        <v>194</v>
      </c>
      <c r="P36" s="35">
        <f t="shared" si="1"/>
        <v>-0.21754653382990852</v>
      </c>
      <c r="Q36" s="4"/>
      <c r="R36" s="4"/>
    </row>
    <row r="37" spans="1:18" s="19" customFormat="1" ht="24.75" customHeight="1" x14ac:dyDescent="0.2">
      <c r="A37" s="21" t="s">
        <v>25</v>
      </c>
      <c r="B37" s="25" t="s">
        <v>149</v>
      </c>
      <c r="C37" s="25" t="s">
        <v>131</v>
      </c>
      <c r="D37" s="22">
        <v>12307290.300000001</v>
      </c>
      <c r="E37" s="22">
        <f>4980956.3+6889053.1</f>
        <v>11870009.399999999</v>
      </c>
      <c r="F37" s="22">
        <f>5064631.2+7104007</f>
        <v>12168638.199999999</v>
      </c>
      <c r="G37" s="39">
        <f>5322533.9+7227360.2</f>
        <v>12549894.100000001</v>
      </c>
      <c r="H37" s="36">
        <v>11870009.4</v>
      </c>
      <c r="I37" s="53">
        <f t="shared" si="2"/>
        <v>0</v>
      </c>
      <c r="J37" s="26">
        <f t="shared" si="3"/>
        <v>-3.5530233653463084E-2</v>
      </c>
      <c r="K37" s="36">
        <v>12168638.199999999</v>
      </c>
      <c r="L37" s="53">
        <f t="shared" si="4"/>
        <v>0</v>
      </c>
      <c r="M37" s="33">
        <f t="shared" si="0"/>
        <v>2.5158261458495534E-2</v>
      </c>
      <c r="N37" s="30">
        <v>12549894.1</v>
      </c>
      <c r="O37" s="53">
        <f t="shared" si="5"/>
        <v>0</v>
      </c>
      <c r="P37" s="33">
        <f t="shared" si="1"/>
        <v>3.1331024370500282E-2</v>
      </c>
      <c r="Q37" s="4"/>
      <c r="R37" s="4"/>
    </row>
    <row r="38" spans="1:18" s="19" customFormat="1" ht="24.75" customHeight="1" x14ac:dyDescent="0.2">
      <c r="A38" s="8" t="s">
        <v>26</v>
      </c>
      <c r="B38" s="3" t="s">
        <v>149</v>
      </c>
      <c r="C38" s="3" t="s">
        <v>133</v>
      </c>
      <c r="D38" s="12">
        <v>8776279.1999999993</v>
      </c>
      <c r="E38" s="12" t="s">
        <v>194</v>
      </c>
      <c r="F38" s="12" t="s">
        <v>194</v>
      </c>
      <c r="G38" s="38" t="s">
        <v>194</v>
      </c>
      <c r="H38" s="34">
        <v>8066088.9000000004</v>
      </c>
      <c r="I38" s="52" t="s">
        <v>194</v>
      </c>
      <c r="J38" s="27">
        <f t="shared" si="3"/>
        <v>-8.0921570954579303E-2</v>
      </c>
      <c r="K38" s="34">
        <v>8431955.5</v>
      </c>
      <c r="L38" s="52" t="s">
        <v>194</v>
      </c>
      <c r="M38" s="35">
        <f t="shared" si="0"/>
        <v>4.5358612400118625E-2</v>
      </c>
      <c r="N38" s="29">
        <v>8797393.5999999996</v>
      </c>
      <c r="O38" s="52" t="s">
        <v>194</v>
      </c>
      <c r="P38" s="35">
        <f t="shared" si="1"/>
        <v>4.3339661837636489E-2</v>
      </c>
      <c r="Q38" s="4"/>
      <c r="R38" s="4"/>
    </row>
    <row r="39" spans="1:18" s="19" customFormat="1" ht="24.75" customHeight="1" x14ac:dyDescent="0.2">
      <c r="A39" s="15" t="s">
        <v>27</v>
      </c>
      <c r="B39" s="18" t="s">
        <v>149</v>
      </c>
      <c r="C39" s="18" t="s">
        <v>135</v>
      </c>
      <c r="D39" s="12">
        <v>3374142.1</v>
      </c>
      <c r="E39" s="12" t="s">
        <v>194</v>
      </c>
      <c r="F39" s="12" t="s">
        <v>194</v>
      </c>
      <c r="G39" s="38" t="s">
        <v>194</v>
      </c>
      <c r="H39" s="37">
        <v>3646637.5</v>
      </c>
      <c r="I39" s="54" t="s">
        <v>194</v>
      </c>
      <c r="J39" s="27">
        <f t="shared" si="3"/>
        <v>8.0759906347749766E-2</v>
      </c>
      <c r="K39" s="37">
        <v>3578928.3</v>
      </c>
      <c r="L39" s="54" t="s">
        <v>194</v>
      </c>
      <c r="M39" s="35">
        <f t="shared" si="0"/>
        <v>-1.8567570810095635E-2</v>
      </c>
      <c r="N39" s="31">
        <v>3593861.2</v>
      </c>
      <c r="O39" s="54" t="s">
        <v>194</v>
      </c>
      <c r="P39" s="35">
        <f t="shared" si="1"/>
        <v>4.172450171745723E-3</v>
      </c>
      <c r="Q39" s="16"/>
      <c r="R39" s="16"/>
    </row>
    <row r="40" spans="1:18" s="19" customFormat="1" ht="24.75" customHeight="1" x14ac:dyDescent="0.2">
      <c r="A40" s="8" t="s">
        <v>28</v>
      </c>
      <c r="B40" s="3" t="s">
        <v>149</v>
      </c>
      <c r="C40" s="3" t="s">
        <v>137</v>
      </c>
      <c r="D40" s="12">
        <v>1583.6</v>
      </c>
      <c r="E40" s="12" t="s">
        <v>194</v>
      </c>
      <c r="F40" s="12" t="s">
        <v>194</v>
      </c>
      <c r="G40" s="38" t="s">
        <v>194</v>
      </c>
      <c r="H40" s="34">
        <v>303.7</v>
      </c>
      <c r="I40" s="52" t="s">
        <v>194</v>
      </c>
      <c r="J40" s="27">
        <f t="shared" si="3"/>
        <v>-0.80822177317504418</v>
      </c>
      <c r="K40" s="34">
        <v>303.7</v>
      </c>
      <c r="L40" s="52" t="s">
        <v>194</v>
      </c>
      <c r="M40" s="35">
        <f t="shared" si="0"/>
        <v>0</v>
      </c>
      <c r="N40" s="29">
        <v>303.7</v>
      </c>
      <c r="O40" s="52" t="s">
        <v>194</v>
      </c>
      <c r="P40" s="35">
        <f t="shared" si="1"/>
        <v>0</v>
      </c>
      <c r="Q40" s="4"/>
      <c r="R40" s="4"/>
    </row>
    <row r="41" spans="1:18" s="19" customFormat="1" ht="24.75" customHeight="1" x14ac:dyDescent="0.2">
      <c r="A41" s="8" t="s">
        <v>20</v>
      </c>
      <c r="B41" s="3" t="s">
        <v>149</v>
      </c>
      <c r="C41" s="3" t="s">
        <v>140</v>
      </c>
      <c r="D41" s="12">
        <v>155285.4</v>
      </c>
      <c r="E41" s="12" t="s">
        <v>194</v>
      </c>
      <c r="F41" s="12" t="s">
        <v>194</v>
      </c>
      <c r="G41" s="38" t="s">
        <v>194</v>
      </c>
      <c r="H41" s="34">
        <v>156979.29999999999</v>
      </c>
      <c r="I41" s="52" t="s">
        <v>194</v>
      </c>
      <c r="J41" s="27">
        <f t="shared" si="3"/>
        <v>1.0908301746332949E-2</v>
      </c>
      <c r="K41" s="34">
        <v>157450.70000000001</v>
      </c>
      <c r="L41" s="52" t="s">
        <v>194</v>
      </c>
      <c r="M41" s="35">
        <f t="shared" si="0"/>
        <v>3.0029437002205839E-3</v>
      </c>
      <c r="N41" s="29">
        <v>158335.6</v>
      </c>
      <c r="O41" s="52" t="s">
        <v>194</v>
      </c>
      <c r="P41" s="35">
        <f t="shared" si="1"/>
        <v>5.6201719014268292E-3</v>
      </c>
      <c r="Q41" s="4"/>
      <c r="R41" s="4"/>
    </row>
    <row r="42" spans="1:18" s="19" customFormat="1" ht="24.75" customHeight="1" x14ac:dyDescent="0.2">
      <c r="A42" s="21" t="s">
        <v>29</v>
      </c>
      <c r="B42" s="25" t="s">
        <v>150</v>
      </c>
      <c r="C42" s="25" t="s">
        <v>131</v>
      </c>
      <c r="D42" s="22">
        <v>5078016.4000000004</v>
      </c>
      <c r="E42" s="22">
        <f>877411.5+4023932.3</f>
        <v>4901343.8</v>
      </c>
      <c r="F42" s="22">
        <f>985743.4+4095586.5</f>
        <v>5081329.9000000004</v>
      </c>
      <c r="G42" s="39">
        <f>1024853.2+4294816.2</f>
        <v>5319669.4000000004</v>
      </c>
      <c r="H42" s="36">
        <v>4901343.8</v>
      </c>
      <c r="I42" s="53">
        <f t="shared" si="2"/>
        <v>0</v>
      </c>
      <c r="J42" s="26">
        <f t="shared" si="3"/>
        <v>-3.4791656049003805E-2</v>
      </c>
      <c r="K42" s="36">
        <v>5081329.9000000004</v>
      </c>
      <c r="L42" s="53">
        <f t="shared" si="4"/>
        <v>0</v>
      </c>
      <c r="M42" s="33">
        <f t="shared" si="0"/>
        <v>3.6721786380298438E-2</v>
      </c>
      <c r="N42" s="30">
        <v>5319669.4000000004</v>
      </c>
      <c r="O42" s="53">
        <f t="shared" si="5"/>
        <v>0</v>
      </c>
      <c r="P42" s="33">
        <f t="shared" si="1"/>
        <v>4.6904945101084561E-2</v>
      </c>
      <c r="Q42" s="4"/>
      <c r="R42" s="4"/>
    </row>
    <row r="43" spans="1:18" s="19" customFormat="1" ht="24.75" customHeight="1" x14ac:dyDescent="0.2">
      <c r="A43" s="15" t="s">
        <v>30</v>
      </c>
      <c r="B43" s="18" t="s">
        <v>150</v>
      </c>
      <c r="C43" s="18" t="s">
        <v>133</v>
      </c>
      <c r="D43" s="12">
        <v>3845610.1</v>
      </c>
      <c r="E43" s="12" t="s">
        <v>194</v>
      </c>
      <c r="F43" s="12" t="s">
        <v>194</v>
      </c>
      <c r="G43" s="38" t="s">
        <v>194</v>
      </c>
      <c r="H43" s="37">
        <v>3627872.7</v>
      </c>
      <c r="I43" s="54" t="s">
        <v>194</v>
      </c>
      <c r="J43" s="27">
        <f t="shared" si="3"/>
        <v>-5.6619728557505078E-2</v>
      </c>
      <c r="K43" s="37">
        <v>3784730.6</v>
      </c>
      <c r="L43" s="54" t="s">
        <v>194</v>
      </c>
      <c r="M43" s="35">
        <f t="shared" si="0"/>
        <v>4.3236880941274425E-2</v>
      </c>
      <c r="N43" s="31">
        <v>4009290.6</v>
      </c>
      <c r="O43" s="54" t="s">
        <v>194</v>
      </c>
      <c r="P43" s="35">
        <f t="shared" si="1"/>
        <v>5.9333153065108446E-2</v>
      </c>
      <c r="Q43" s="16"/>
      <c r="R43" s="16"/>
    </row>
    <row r="44" spans="1:18" s="19" customFormat="1" ht="24.75" customHeight="1" x14ac:dyDescent="0.2">
      <c r="A44" s="15" t="s">
        <v>31</v>
      </c>
      <c r="B44" s="3" t="s">
        <v>150</v>
      </c>
      <c r="C44" s="3" t="s">
        <v>137</v>
      </c>
      <c r="D44" s="12">
        <v>19089.900000000001</v>
      </c>
      <c r="E44" s="12" t="s">
        <v>194</v>
      </c>
      <c r="F44" s="12" t="s">
        <v>194</v>
      </c>
      <c r="G44" s="38" t="s">
        <v>194</v>
      </c>
      <c r="H44" s="34">
        <v>19230</v>
      </c>
      <c r="I44" s="52" t="s">
        <v>194</v>
      </c>
      <c r="J44" s="27">
        <f t="shared" si="3"/>
        <v>7.3389593449939561E-3</v>
      </c>
      <c r="K44" s="34">
        <v>19230</v>
      </c>
      <c r="L44" s="52" t="s">
        <v>194</v>
      </c>
      <c r="M44" s="35">
        <f t="shared" si="0"/>
        <v>0</v>
      </c>
      <c r="N44" s="29">
        <v>19230</v>
      </c>
      <c r="O44" s="52" t="s">
        <v>194</v>
      </c>
      <c r="P44" s="35">
        <f t="shared" si="1"/>
        <v>0</v>
      </c>
      <c r="Q44" s="4"/>
      <c r="R44" s="4"/>
    </row>
    <row r="45" spans="1:18" s="19" customFormat="1" ht="24.75" customHeight="1" x14ac:dyDescent="0.2">
      <c r="A45" s="8" t="s">
        <v>32</v>
      </c>
      <c r="B45" s="3" t="s">
        <v>150</v>
      </c>
      <c r="C45" s="3" t="s">
        <v>138</v>
      </c>
      <c r="D45" s="12">
        <v>733904.4</v>
      </c>
      <c r="E45" s="12" t="s">
        <v>194</v>
      </c>
      <c r="F45" s="12" t="s">
        <v>194</v>
      </c>
      <c r="G45" s="38" t="s">
        <v>194</v>
      </c>
      <c r="H45" s="34">
        <v>755374.8</v>
      </c>
      <c r="I45" s="52" t="s">
        <v>194</v>
      </c>
      <c r="J45" s="27">
        <f t="shared" si="3"/>
        <v>2.9255036487041197E-2</v>
      </c>
      <c r="K45" s="34">
        <v>774588.6</v>
      </c>
      <c r="L45" s="52" t="s">
        <v>194</v>
      </c>
      <c r="M45" s="35">
        <f t="shared" si="0"/>
        <v>2.5436114628128781E-2</v>
      </c>
      <c r="N45" s="29">
        <v>788368.1</v>
      </c>
      <c r="O45" s="52" t="s">
        <v>194</v>
      </c>
      <c r="P45" s="35">
        <f t="shared" si="1"/>
        <v>1.7789443325140653E-2</v>
      </c>
      <c r="Q45" s="4"/>
      <c r="R45" s="4"/>
    </row>
    <row r="46" spans="1:18" s="19" customFormat="1" ht="24.75" customHeight="1" x14ac:dyDescent="0.2">
      <c r="A46" s="8" t="s">
        <v>33</v>
      </c>
      <c r="B46" s="3" t="s">
        <v>150</v>
      </c>
      <c r="C46" s="3" t="s">
        <v>140</v>
      </c>
      <c r="D46" s="12">
        <v>479412</v>
      </c>
      <c r="E46" s="12" t="s">
        <v>194</v>
      </c>
      <c r="F46" s="12" t="s">
        <v>194</v>
      </c>
      <c r="G46" s="38" t="s">
        <v>194</v>
      </c>
      <c r="H46" s="34">
        <v>498866.3</v>
      </c>
      <c r="I46" s="52" t="s">
        <v>194</v>
      </c>
      <c r="J46" s="27">
        <f t="shared" si="3"/>
        <v>4.0579501556072817E-2</v>
      </c>
      <c r="K46" s="34">
        <v>502780.7</v>
      </c>
      <c r="L46" s="52" t="s">
        <v>194</v>
      </c>
      <c r="M46" s="35">
        <f t="shared" si="0"/>
        <v>7.8465913612526528E-3</v>
      </c>
      <c r="N46" s="29">
        <v>502780.7</v>
      </c>
      <c r="O46" s="52" t="s">
        <v>194</v>
      </c>
      <c r="P46" s="35">
        <f t="shared" si="1"/>
        <v>0</v>
      </c>
      <c r="Q46" s="4"/>
      <c r="R46" s="4"/>
    </row>
    <row r="47" spans="1:18" s="19" customFormat="1" ht="24.75" customHeight="1" x14ac:dyDescent="0.2">
      <c r="A47" s="21" t="s">
        <v>34</v>
      </c>
      <c r="B47" s="25" t="s">
        <v>151</v>
      </c>
      <c r="C47" s="25" t="s">
        <v>131</v>
      </c>
      <c r="D47" s="22">
        <v>674108.8</v>
      </c>
      <c r="E47" s="22">
        <f>323477.3+234871</f>
        <v>558348.30000000005</v>
      </c>
      <c r="F47" s="22">
        <f>328998+237324.3</f>
        <v>566322.30000000005</v>
      </c>
      <c r="G47" s="39">
        <f>329547.5+243081.8</f>
        <v>572629.30000000005</v>
      </c>
      <c r="H47" s="36">
        <v>558348.30000000005</v>
      </c>
      <c r="I47" s="53">
        <f t="shared" si="2"/>
        <v>0</v>
      </c>
      <c r="J47" s="26">
        <f t="shared" si="3"/>
        <v>-0.17172376328568917</v>
      </c>
      <c r="K47" s="36">
        <v>566322.30000000005</v>
      </c>
      <c r="L47" s="53">
        <f t="shared" si="4"/>
        <v>0</v>
      </c>
      <c r="M47" s="33">
        <f t="shared" si="0"/>
        <v>1.4281408217773794E-2</v>
      </c>
      <c r="N47" s="30">
        <v>572629.30000000005</v>
      </c>
      <c r="O47" s="53">
        <f t="shared" si="5"/>
        <v>0</v>
      </c>
      <c r="P47" s="33">
        <f t="shared" si="1"/>
        <v>1.1136767879350584E-2</v>
      </c>
      <c r="Q47" s="4"/>
      <c r="R47" s="4"/>
    </row>
    <row r="48" spans="1:18" s="19" customFormat="1" ht="24.75" customHeight="1" x14ac:dyDescent="0.2">
      <c r="A48" s="15" t="s">
        <v>35</v>
      </c>
      <c r="B48" s="18" t="s">
        <v>151</v>
      </c>
      <c r="C48" s="18" t="s">
        <v>133</v>
      </c>
      <c r="D48" s="12">
        <v>359940.8</v>
      </c>
      <c r="E48" s="12" t="s">
        <v>194</v>
      </c>
      <c r="F48" s="12" t="s">
        <v>194</v>
      </c>
      <c r="G48" s="38" t="s">
        <v>194</v>
      </c>
      <c r="H48" s="37">
        <v>388797.8</v>
      </c>
      <c r="I48" s="54" t="s">
        <v>194</v>
      </c>
      <c r="J48" s="27">
        <f t="shared" si="3"/>
        <v>8.0171517093922118E-2</v>
      </c>
      <c r="K48" s="37">
        <v>394438.9</v>
      </c>
      <c r="L48" s="54" t="s">
        <v>194</v>
      </c>
      <c r="M48" s="35">
        <f t="shared" si="0"/>
        <v>1.4509084156340446E-2</v>
      </c>
      <c r="N48" s="31">
        <v>395548.6</v>
      </c>
      <c r="O48" s="54" t="s">
        <v>194</v>
      </c>
      <c r="P48" s="35">
        <f t="shared" si="1"/>
        <v>2.813363489249987E-3</v>
      </c>
      <c r="Q48" s="16"/>
      <c r="R48" s="16"/>
    </row>
    <row r="49" spans="1:18" s="19" customFormat="1" ht="24.75" customHeight="1" x14ac:dyDescent="0.2">
      <c r="A49" s="8" t="s">
        <v>36</v>
      </c>
      <c r="B49" s="3" t="s">
        <v>151</v>
      </c>
      <c r="C49" s="3" t="s">
        <v>135</v>
      </c>
      <c r="D49" s="12">
        <v>1102</v>
      </c>
      <c r="E49" s="12" t="s">
        <v>194</v>
      </c>
      <c r="F49" s="12" t="s">
        <v>194</v>
      </c>
      <c r="G49" s="38" t="s">
        <v>194</v>
      </c>
      <c r="H49" s="34">
        <v>1087</v>
      </c>
      <c r="I49" s="52" t="s">
        <v>194</v>
      </c>
      <c r="J49" s="27">
        <f t="shared" si="3"/>
        <v>-1.361161524500909E-2</v>
      </c>
      <c r="K49" s="34">
        <v>1056</v>
      </c>
      <c r="L49" s="52" t="s">
        <v>194</v>
      </c>
      <c r="M49" s="35">
        <f t="shared" si="0"/>
        <v>-2.8518859245630135E-2</v>
      </c>
      <c r="N49" s="29">
        <v>1042</v>
      </c>
      <c r="O49" s="52" t="s">
        <v>194</v>
      </c>
      <c r="P49" s="35">
        <f t="shared" si="1"/>
        <v>-1.3257575757575801E-2</v>
      </c>
      <c r="Q49" s="4"/>
      <c r="R49" s="4"/>
    </row>
    <row r="50" spans="1:18" s="19" customFormat="1" ht="24.75" customHeight="1" x14ac:dyDescent="0.2">
      <c r="A50" s="8" t="s">
        <v>120</v>
      </c>
      <c r="B50" s="3" t="s">
        <v>151</v>
      </c>
      <c r="C50" s="3" t="s">
        <v>137</v>
      </c>
      <c r="D50" s="12">
        <v>4815.7</v>
      </c>
      <c r="E50" s="12" t="s">
        <v>194</v>
      </c>
      <c r="F50" s="12" t="s">
        <v>194</v>
      </c>
      <c r="G50" s="38" t="s">
        <v>194</v>
      </c>
      <c r="H50" s="34">
        <v>3091.8</v>
      </c>
      <c r="I50" s="52" t="s">
        <v>194</v>
      </c>
      <c r="J50" s="27">
        <f t="shared" si="3"/>
        <v>-0.35797495691176773</v>
      </c>
      <c r="K50" s="34">
        <v>3095.2</v>
      </c>
      <c r="L50" s="52" t="s">
        <v>194</v>
      </c>
      <c r="M50" s="35">
        <f t="shared" si="0"/>
        <v>1.0996830325376017E-3</v>
      </c>
      <c r="N50" s="29">
        <v>3095.2</v>
      </c>
      <c r="O50" s="52" t="s">
        <v>194</v>
      </c>
      <c r="P50" s="35">
        <f t="shared" si="1"/>
        <v>0</v>
      </c>
      <c r="Q50" s="4"/>
      <c r="R50" s="4"/>
    </row>
    <row r="51" spans="1:18" s="19" customFormat="1" ht="24.75" customHeight="1" x14ac:dyDescent="0.2">
      <c r="A51" s="8" t="s">
        <v>37</v>
      </c>
      <c r="B51" s="3" t="s">
        <v>151</v>
      </c>
      <c r="C51" s="3" t="s">
        <v>138</v>
      </c>
      <c r="D51" s="12">
        <v>149481.70000000001</v>
      </c>
      <c r="E51" s="12" t="s">
        <v>194</v>
      </c>
      <c r="F51" s="12" t="s">
        <v>194</v>
      </c>
      <c r="G51" s="38" t="s">
        <v>194</v>
      </c>
      <c r="H51" s="34">
        <v>159663.70000000001</v>
      </c>
      <c r="I51" s="52" t="s">
        <v>194</v>
      </c>
      <c r="J51" s="27">
        <f t="shared" si="3"/>
        <v>6.8115361278337172E-2</v>
      </c>
      <c r="K51" s="34">
        <v>162024.20000000001</v>
      </c>
      <c r="L51" s="52" t="s">
        <v>194</v>
      </c>
      <c r="M51" s="35">
        <f t="shared" si="0"/>
        <v>1.4784199539406906E-2</v>
      </c>
      <c r="N51" s="29">
        <v>167235.5</v>
      </c>
      <c r="O51" s="52" t="s">
        <v>194</v>
      </c>
      <c r="P51" s="35">
        <f t="shared" si="1"/>
        <v>3.2163713815590356E-2</v>
      </c>
      <c r="Q51" s="4"/>
      <c r="R51" s="4"/>
    </row>
    <row r="52" spans="1:18" s="19" customFormat="1" ht="24.75" customHeight="1" x14ac:dyDescent="0.2">
      <c r="A52" s="8" t="s">
        <v>38</v>
      </c>
      <c r="B52" s="3" t="s">
        <v>151</v>
      </c>
      <c r="C52" s="3" t="s">
        <v>140</v>
      </c>
      <c r="D52" s="12">
        <v>485.6</v>
      </c>
      <c r="E52" s="12" t="s">
        <v>194</v>
      </c>
      <c r="F52" s="12" t="s">
        <v>194</v>
      </c>
      <c r="G52" s="38" t="s">
        <v>194</v>
      </c>
      <c r="H52" s="34">
        <v>485.6</v>
      </c>
      <c r="I52" s="52" t="s">
        <v>194</v>
      </c>
      <c r="J52" s="27">
        <f t="shared" si="3"/>
        <v>0</v>
      </c>
      <c r="K52" s="34">
        <v>485.6</v>
      </c>
      <c r="L52" s="52" t="s">
        <v>194</v>
      </c>
      <c r="M52" s="35">
        <f t="shared" si="0"/>
        <v>0</v>
      </c>
      <c r="N52" s="29">
        <v>485.6</v>
      </c>
      <c r="O52" s="52" t="s">
        <v>194</v>
      </c>
      <c r="P52" s="35">
        <f t="shared" si="1"/>
        <v>0</v>
      </c>
      <c r="Q52" s="4"/>
      <c r="R52" s="4"/>
    </row>
    <row r="53" spans="1:18" s="19" customFormat="1" ht="24.75" customHeight="1" x14ac:dyDescent="0.2">
      <c r="A53" s="15" t="s">
        <v>152</v>
      </c>
      <c r="B53" s="18" t="s">
        <v>151</v>
      </c>
      <c r="C53" s="18" t="s">
        <v>146</v>
      </c>
      <c r="D53" s="12">
        <v>158283</v>
      </c>
      <c r="E53" s="12" t="s">
        <v>194</v>
      </c>
      <c r="F53" s="12" t="s">
        <v>194</v>
      </c>
      <c r="G53" s="38" t="s">
        <v>194</v>
      </c>
      <c r="H53" s="37">
        <v>5222.3999999999996</v>
      </c>
      <c r="I53" s="54" t="s">
        <v>194</v>
      </c>
      <c r="J53" s="27">
        <f t="shared" si="3"/>
        <v>-0.96700593241219845</v>
      </c>
      <c r="K53" s="37">
        <v>5222.3999999999996</v>
      </c>
      <c r="L53" s="54" t="s">
        <v>194</v>
      </c>
      <c r="M53" s="35">
        <f t="shared" si="0"/>
        <v>0</v>
      </c>
      <c r="N53" s="31">
        <v>5222.3999999999996</v>
      </c>
      <c r="O53" s="54" t="s">
        <v>194</v>
      </c>
      <c r="P53" s="35">
        <f t="shared" si="1"/>
        <v>0</v>
      </c>
      <c r="Q53" s="16"/>
      <c r="R53" s="16"/>
    </row>
    <row r="54" spans="1:18" s="19" customFormat="1" ht="24.75" customHeight="1" x14ac:dyDescent="0.2">
      <c r="A54" s="21" t="s">
        <v>39</v>
      </c>
      <c r="B54" s="25" t="s">
        <v>153</v>
      </c>
      <c r="C54" s="25" t="s">
        <v>131</v>
      </c>
      <c r="D54" s="22">
        <v>2269669</v>
      </c>
      <c r="E54" s="22">
        <f>889484.8+1250175.6</f>
        <v>2139660.4000000004</v>
      </c>
      <c r="F54" s="22">
        <f>874010.8+977920.1</f>
        <v>1851930.9</v>
      </c>
      <c r="G54" s="39">
        <f>615521.1+977920.1</f>
        <v>1593441.2</v>
      </c>
      <c r="H54" s="36">
        <v>2139660.4</v>
      </c>
      <c r="I54" s="53">
        <f t="shared" si="2"/>
        <v>0</v>
      </c>
      <c r="J54" s="26">
        <f t="shared" si="3"/>
        <v>-5.7280863421053985E-2</v>
      </c>
      <c r="K54" s="36">
        <v>1851930.9</v>
      </c>
      <c r="L54" s="53">
        <f t="shared" si="4"/>
        <v>0</v>
      </c>
      <c r="M54" s="33">
        <f t="shared" si="0"/>
        <v>-0.13447437733576784</v>
      </c>
      <c r="N54" s="30">
        <v>1593441.2</v>
      </c>
      <c r="O54" s="53">
        <f t="shared" si="5"/>
        <v>0</v>
      </c>
      <c r="P54" s="33">
        <f t="shared" si="1"/>
        <v>-0.13957847995300465</v>
      </c>
      <c r="Q54" s="4"/>
      <c r="R54" s="4"/>
    </row>
    <row r="55" spans="1:18" s="19" customFormat="1" ht="24.75" customHeight="1" x14ac:dyDescent="0.2">
      <c r="A55" s="8" t="s">
        <v>40</v>
      </c>
      <c r="B55" s="3" t="s">
        <v>153</v>
      </c>
      <c r="C55" s="3" t="s">
        <v>133</v>
      </c>
      <c r="D55" s="12">
        <v>65307.3</v>
      </c>
      <c r="E55" s="12" t="s">
        <v>194</v>
      </c>
      <c r="F55" s="12" t="s">
        <v>194</v>
      </c>
      <c r="G55" s="38" t="s">
        <v>194</v>
      </c>
      <c r="H55" s="34">
        <v>20000</v>
      </c>
      <c r="I55" s="52" t="s">
        <v>194</v>
      </c>
      <c r="J55" s="27">
        <f t="shared" si="3"/>
        <v>-0.69375552197074453</v>
      </c>
      <c r="K55" s="34">
        <v>20000</v>
      </c>
      <c r="L55" s="52" t="s">
        <v>194</v>
      </c>
      <c r="M55" s="35">
        <f t="shared" si="0"/>
        <v>0</v>
      </c>
      <c r="N55" s="29">
        <v>20000</v>
      </c>
      <c r="O55" s="52" t="s">
        <v>194</v>
      </c>
      <c r="P55" s="35">
        <f t="shared" si="1"/>
        <v>0</v>
      </c>
      <c r="Q55" s="4"/>
      <c r="R55" s="4"/>
    </row>
    <row r="56" spans="1:18" s="19" customFormat="1" ht="24.75" customHeight="1" x14ac:dyDescent="0.2">
      <c r="A56" s="8" t="s">
        <v>41</v>
      </c>
      <c r="B56" s="3" t="s">
        <v>153</v>
      </c>
      <c r="C56" s="3" t="s">
        <v>135</v>
      </c>
      <c r="D56" s="12">
        <v>122055</v>
      </c>
      <c r="E56" s="12" t="s">
        <v>194</v>
      </c>
      <c r="F56" s="12" t="s">
        <v>194</v>
      </c>
      <c r="G56" s="38" t="s">
        <v>194</v>
      </c>
      <c r="H56" s="34">
        <v>56915.1</v>
      </c>
      <c r="I56" s="52" t="s">
        <v>194</v>
      </c>
      <c r="J56" s="27">
        <f t="shared" si="3"/>
        <v>-0.53369300725082958</v>
      </c>
      <c r="K56" s="34">
        <v>9671.2000000000007</v>
      </c>
      <c r="L56" s="52" t="s">
        <v>194</v>
      </c>
      <c r="M56" s="35">
        <f t="shared" si="0"/>
        <v>-0.83007672831990109</v>
      </c>
      <c r="N56" s="29">
        <v>43866.400000000001</v>
      </c>
      <c r="O56" s="52" t="s">
        <v>194</v>
      </c>
      <c r="P56" s="35">
        <f t="shared" si="1"/>
        <v>3.5357763255852426</v>
      </c>
      <c r="Q56" s="4"/>
      <c r="R56" s="4"/>
    </row>
    <row r="57" spans="1:18" s="19" customFormat="1" ht="24.75" customHeight="1" x14ac:dyDescent="0.2">
      <c r="A57" s="8" t="s">
        <v>121</v>
      </c>
      <c r="B57" s="3" t="s">
        <v>153</v>
      </c>
      <c r="C57" s="3" t="s">
        <v>137</v>
      </c>
      <c r="D57" s="12">
        <v>20000</v>
      </c>
      <c r="E57" s="12" t="s">
        <v>194</v>
      </c>
      <c r="F57" s="12" t="s">
        <v>194</v>
      </c>
      <c r="G57" s="38" t="s">
        <v>194</v>
      </c>
      <c r="H57" s="34">
        <v>52740</v>
      </c>
      <c r="I57" s="52" t="s">
        <v>194</v>
      </c>
      <c r="J57" s="27">
        <f t="shared" si="3"/>
        <v>1.637</v>
      </c>
      <c r="K57" s="34">
        <v>54100</v>
      </c>
      <c r="L57" s="52" t="s">
        <v>194</v>
      </c>
      <c r="M57" s="35">
        <f t="shared" si="0"/>
        <v>2.5786879029199739E-2</v>
      </c>
      <c r="N57" s="29">
        <v>55480</v>
      </c>
      <c r="O57" s="52" t="s">
        <v>194</v>
      </c>
      <c r="P57" s="35">
        <f t="shared" si="1"/>
        <v>2.5508317929759716E-2</v>
      </c>
      <c r="Q57" s="4"/>
      <c r="R57" s="4"/>
    </row>
    <row r="58" spans="1:18" s="19" customFormat="1" ht="24.75" customHeight="1" x14ac:dyDescent="0.2">
      <c r="A58" s="49" t="s">
        <v>122</v>
      </c>
      <c r="B58" s="3" t="s">
        <v>153</v>
      </c>
      <c r="C58" s="3" t="s">
        <v>138</v>
      </c>
      <c r="D58" s="12">
        <v>416044.9</v>
      </c>
      <c r="E58" s="12" t="s">
        <v>194</v>
      </c>
      <c r="F58" s="12" t="s">
        <v>194</v>
      </c>
      <c r="G58" s="38" t="s">
        <v>194</v>
      </c>
      <c r="H58" s="34">
        <v>575670.19999999995</v>
      </c>
      <c r="I58" s="52" t="s">
        <v>194</v>
      </c>
      <c r="J58" s="27">
        <f t="shared" si="3"/>
        <v>0.38367325257442153</v>
      </c>
      <c r="K58" s="34">
        <v>442786.7</v>
      </c>
      <c r="L58" s="52" t="s">
        <v>194</v>
      </c>
      <c r="M58" s="35">
        <f t="shared" si="0"/>
        <v>-0.23083268857759176</v>
      </c>
      <c r="N58" s="29">
        <v>216975.3</v>
      </c>
      <c r="O58" s="52" t="s">
        <v>194</v>
      </c>
      <c r="P58" s="35">
        <f t="shared" si="1"/>
        <v>-0.50997782905403444</v>
      </c>
      <c r="Q58" s="4"/>
      <c r="R58" s="4"/>
    </row>
    <row r="59" spans="1:18" s="19" customFormat="1" ht="24.75" customHeight="1" x14ac:dyDescent="0.2">
      <c r="A59" s="15" t="s">
        <v>42</v>
      </c>
      <c r="B59" s="18" t="s">
        <v>153</v>
      </c>
      <c r="C59" s="18" t="s">
        <v>140</v>
      </c>
      <c r="D59" s="12">
        <v>34700</v>
      </c>
      <c r="E59" s="12" t="s">
        <v>194</v>
      </c>
      <c r="F59" s="12" t="s">
        <v>194</v>
      </c>
      <c r="G59" s="38" t="s">
        <v>194</v>
      </c>
      <c r="H59" s="37">
        <v>35300</v>
      </c>
      <c r="I59" s="54" t="s">
        <v>194</v>
      </c>
      <c r="J59" s="27">
        <f t="shared" si="3"/>
        <v>1.7291066282420831E-2</v>
      </c>
      <c r="K59" s="37">
        <v>34700</v>
      </c>
      <c r="L59" s="54" t="s">
        <v>194</v>
      </c>
      <c r="M59" s="35">
        <f t="shared" si="0"/>
        <v>-1.6997167138810165E-2</v>
      </c>
      <c r="N59" s="31">
        <v>34700</v>
      </c>
      <c r="O59" s="54" t="s">
        <v>194</v>
      </c>
      <c r="P59" s="35">
        <f t="shared" si="1"/>
        <v>0</v>
      </c>
      <c r="Q59" s="16"/>
      <c r="R59" s="16"/>
    </row>
    <row r="60" spans="1:18" s="19" customFormat="1" ht="24.75" customHeight="1" x14ac:dyDescent="0.2">
      <c r="A60" s="8" t="s">
        <v>43</v>
      </c>
      <c r="B60" s="3" t="s">
        <v>153</v>
      </c>
      <c r="C60" s="3" t="s">
        <v>146</v>
      </c>
      <c r="D60" s="12">
        <v>10000</v>
      </c>
      <c r="E60" s="12" t="s">
        <v>194</v>
      </c>
      <c r="F60" s="12" t="s">
        <v>194</v>
      </c>
      <c r="G60" s="38" t="s">
        <v>194</v>
      </c>
      <c r="H60" s="34">
        <v>9600</v>
      </c>
      <c r="I60" s="52" t="s">
        <v>194</v>
      </c>
      <c r="J60" s="27">
        <f t="shared" si="3"/>
        <v>-4.0000000000000036E-2</v>
      </c>
      <c r="K60" s="34">
        <v>10000</v>
      </c>
      <c r="L60" s="52" t="s">
        <v>194</v>
      </c>
      <c r="M60" s="35">
        <f t="shared" si="0"/>
        <v>4.1666666666666741E-2</v>
      </c>
      <c r="N60" s="29">
        <v>10000</v>
      </c>
      <c r="O60" s="52" t="s">
        <v>194</v>
      </c>
      <c r="P60" s="35">
        <f t="shared" si="1"/>
        <v>0</v>
      </c>
      <c r="Q60" s="4"/>
      <c r="R60" s="4"/>
    </row>
    <row r="61" spans="1:18" s="19" customFormat="1" ht="24.75" customHeight="1" x14ac:dyDescent="0.2">
      <c r="A61" s="8" t="s">
        <v>44</v>
      </c>
      <c r="B61" s="3" t="s">
        <v>153</v>
      </c>
      <c r="C61" s="3" t="s">
        <v>141</v>
      </c>
      <c r="D61" s="12">
        <v>238787.1</v>
      </c>
      <c r="E61" s="12" t="s">
        <v>194</v>
      </c>
      <c r="F61" s="12" t="s">
        <v>194</v>
      </c>
      <c r="G61" s="38" t="s">
        <v>194</v>
      </c>
      <c r="H61" s="34">
        <v>254700.4</v>
      </c>
      <c r="I61" s="52" t="s">
        <v>194</v>
      </c>
      <c r="J61" s="27">
        <f t="shared" si="3"/>
        <v>6.6642209734110391E-2</v>
      </c>
      <c r="K61" s="34">
        <v>256935.7</v>
      </c>
      <c r="L61" s="52" t="s">
        <v>194</v>
      </c>
      <c r="M61" s="35">
        <f t="shared" si="0"/>
        <v>8.7761935199159868E-3</v>
      </c>
      <c r="N61" s="29">
        <v>256935.7</v>
      </c>
      <c r="O61" s="52" t="s">
        <v>194</v>
      </c>
      <c r="P61" s="35">
        <f t="shared" si="1"/>
        <v>0</v>
      </c>
      <c r="Q61" s="4"/>
      <c r="R61" s="4"/>
    </row>
    <row r="62" spans="1:18" s="19" customFormat="1" ht="24.75" customHeight="1" x14ac:dyDescent="0.2">
      <c r="A62" s="8" t="s">
        <v>4</v>
      </c>
      <c r="B62" s="3" t="s">
        <v>153</v>
      </c>
      <c r="C62" s="3" t="s">
        <v>143</v>
      </c>
      <c r="D62" s="12">
        <v>43385.5</v>
      </c>
      <c r="E62" s="12" t="s">
        <v>194</v>
      </c>
      <c r="F62" s="12" t="s">
        <v>194</v>
      </c>
      <c r="G62" s="38" t="s">
        <v>194</v>
      </c>
      <c r="H62" s="34">
        <v>44809.5</v>
      </c>
      <c r="I62" s="52" t="s">
        <v>194</v>
      </c>
      <c r="J62" s="27">
        <f t="shared" si="3"/>
        <v>3.282202579202731E-2</v>
      </c>
      <c r="K62" s="34">
        <v>44809.5</v>
      </c>
      <c r="L62" s="52" t="s">
        <v>194</v>
      </c>
      <c r="M62" s="35">
        <f t="shared" si="0"/>
        <v>0</v>
      </c>
      <c r="N62" s="29">
        <v>44809.5</v>
      </c>
      <c r="O62" s="52" t="s">
        <v>194</v>
      </c>
      <c r="P62" s="35">
        <f t="shared" si="1"/>
        <v>0</v>
      </c>
      <c r="Q62" s="4"/>
      <c r="R62" s="4"/>
    </row>
    <row r="63" spans="1:18" s="19" customFormat="1" ht="24.75" customHeight="1" x14ac:dyDescent="0.2">
      <c r="A63" s="49" t="s">
        <v>154</v>
      </c>
      <c r="B63" s="3" t="s">
        <v>153</v>
      </c>
      <c r="C63" s="3" t="s">
        <v>144</v>
      </c>
      <c r="D63" s="12">
        <v>0</v>
      </c>
      <c r="E63" s="12" t="s">
        <v>194</v>
      </c>
      <c r="F63" s="12" t="s">
        <v>194</v>
      </c>
      <c r="G63" s="38" t="s">
        <v>194</v>
      </c>
      <c r="H63" s="34">
        <v>80881</v>
      </c>
      <c r="I63" s="52" t="s">
        <v>194</v>
      </c>
      <c r="J63" s="27" t="str">
        <f t="shared" si="3"/>
        <v>-</v>
      </c>
      <c r="K63" s="34">
        <v>69883.600000000006</v>
      </c>
      <c r="L63" s="52" t="s">
        <v>194</v>
      </c>
      <c r="M63" s="35">
        <f t="shared" si="0"/>
        <v>-0.13597012895488425</v>
      </c>
      <c r="N63" s="29">
        <v>1630.1</v>
      </c>
      <c r="O63" s="52" t="s">
        <v>194</v>
      </c>
      <c r="P63" s="35">
        <f t="shared" si="1"/>
        <v>-0.97667406945263269</v>
      </c>
      <c r="Q63" s="4"/>
      <c r="R63" s="4"/>
    </row>
    <row r="64" spans="1:18" s="19" customFormat="1" ht="24.75" customHeight="1" x14ac:dyDescent="0.2">
      <c r="A64" s="8" t="s">
        <v>45</v>
      </c>
      <c r="B64" s="3" t="s">
        <v>153</v>
      </c>
      <c r="C64" s="3" t="s">
        <v>2</v>
      </c>
      <c r="D64" s="12">
        <v>779476.7</v>
      </c>
      <c r="E64" s="12" t="s">
        <v>194</v>
      </c>
      <c r="F64" s="12" t="s">
        <v>194</v>
      </c>
      <c r="G64" s="38" t="s">
        <v>194</v>
      </c>
      <c r="H64" s="34">
        <v>841549.5</v>
      </c>
      <c r="I64" s="52" t="s">
        <v>194</v>
      </c>
      <c r="J64" s="27">
        <f t="shared" si="3"/>
        <v>7.9633939026015899E-2</v>
      </c>
      <c r="K64" s="34">
        <v>841549.5</v>
      </c>
      <c r="L64" s="52" t="s">
        <v>194</v>
      </c>
      <c r="M64" s="35">
        <f t="shared" si="0"/>
        <v>0</v>
      </c>
      <c r="N64" s="29">
        <v>841549.5</v>
      </c>
      <c r="O64" s="52" t="s">
        <v>194</v>
      </c>
      <c r="P64" s="35">
        <f t="shared" si="1"/>
        <v>0</v>
      </c>
      <c r="Q64" s="4"/>
      <c r="R64" s="4"/>
    </row>
    <row r="65" spans="1:18" s="19" customFormat="1" ht="24.75" customHeight="1" x14ac:dyDescent="0.2">
      <c r="A65" s="8" t="s">
        <v>46</v>
      </c>
      <c r="B65" s="3" t="s">
        <v>153</v>
      </c>
      <c r="C65" s="3" t="s">
        <v>47</v>
      </c>
      <c r="D65" s="12">
        <v>539912.5</v>
      </c>
      <c r="E65" s="12" t="s">
        <v>194</v>
      </c>
      <c r="F65" s="12" t="s">
        <v>194</v>
      </c>
      <c r="G65" s="38" t="s">
        <v>194</v>
      </c>
      <c r="H65" s="34">
        <v>147494.70000000001</v>
      </c>
      <c r="I65" s="52" t="s">
        <v>194</v>
      </c>
      <c r="J65" s="27">
        <f t="shared" si="3"/>
        <v>-0.72681740096774938</v>
      </c>
      <c r="K65" s="34">
        <v>47494.7</v>
      </c>
      <c r="L65" s="52" t="s">
        <v>194</v>
      </c>
      <c r="M65" s="35">
        <f t="shared" si="0"/>
        <v>-0.67799046338614199</v>
      </c>
      <c r="N65" s="29">
        <v>47494.7</v>
      </c>
      <c r="O65" s="52" t="s">
        <v>194</v>
      </c>
      <c r="P65" s="35">
        <f t="shared" si="1"/>
        <v>0</v>
      </c>
      <c r="Q65" s="4"/>
      <c r="R65" s="4"/>
    </row>
    <row r="66" spans="1:18" s="19" customFormat="1" ht="24.75" customHeight="1" x14ac:dyDescent="0.2">
      <c r="A66" s="8" t="s">
        <v>155</v>
      </c>
      <c r="B66" s="3" t="s">
        <v>153</v>
      </c>
      <c r="C66" s="3" t="s">
        <v>3</v>
      </c>
      <c r="D66" s="12">
        <v>0</v>
      </c>
      <c r="E66" s="12" t="s">
        <v>194</v>
      </c>
      <c r="F66" s="12" t="s">
        <v>194</v>
      </c>
      <c r="G66" s="38" t="s">
        <v>194</v>
      </c>
      <c r="H66" s="34">
        <v>20000</v>
      </c>
      <c r="I66" s="52" t="s">
        <v>194</v>
      </c>
      <c r="J66" s="27" t="str">
        <f t="shared" si="3"/>
        <v>-</v>
      </c>
      <c r="K66" s="34">
        <v>20000</v>
      </c>
      <c r="L66" s="52" t="s">
        <v>194</v>
      </c>
      <c r="M66" s="35">
        <f t="shared" si="0"/>
        <v>0</v>
      </c>
      <c r="N66" s="29">
        <v>20000</v>
      </c>
      <c r="O66" s="52" t="s">
        <v>194</v>
      </c>
      <c r="P66" s="35">
        <f t="shared" si="1"/>
        <v>0</v>
      </c>
      <c r="Q66" s="4"/>
      <c r="R66" s="4"/>
    </row>
    <row r="67" spans="1:18" s="19" customFormat="1" ht="24.75" customHeight="1" x14ac:dyDescent="0.2">
      <c r="A67" s="23" t="s">
        <v>48</v>
      </c>
      <c r="B67" s="25" t="s">
        <v>156</v>
      </c>
      <c r="C67" s="25" t="s">
        <v>131</v>
      </c>
      <c r="D67" s="22">
        <v>561947.9</v>
      </c>
      <c r="E67" s="22">
        <f>55634.5+206340.7</f>
        <v>261975.2</v>
      </c>
      <c r="F67" s="22">
        <f>75800.2+180140.7</f>
        <v>255940.90000000002</v>
      </c>
      <c r="G67" s="39">
        <f>114051.2+177999.1</f>
        <v>292050.3</v>
      </c>
      <c r="H67" s="36">
        <v>261975.2</v>
      </c>
      <c r="I67" s="53">
        <f t="shared" si="2"/>
        <v>0</v>
      </c>
      <c r="J67" s="26">
        <f t="shared" si="3"/>
        <v>-0.53380873920874161</v>
      </c>
      <c r="K67" s="36">
        <v>255940.9</v>
      </c>
      <c r="L67" s="53">
        <f t="shared" si="4"/>
        <v>0</v>
      </c>
      <c r="M67" s="33">
        <f t="shared" si="0"/>
        <v>-2.3033859693589398E-2</v>
      </c>
      <c r="N67" s="30">
        <v>292050.3</v>
      </c>
      <c r="O67" s="53">
        <f t="shared" si="5"/>
        <v>0</v>
      </c>
      <c r="P67" s="33">
        <f t="shared" si="1"/>
        <v>0.14108491452518912</v>
      </c>
      <c r="Q67" s="4"/>
      <c r="R67" s="4"/>
    </row>
    <row r="68" spans="1:18" s="19" customFormat="1" ht="24.75" customHeight="1" x14ac:dyDescent="0.2">
      <c r="A68" s="49" t="s">
        <v>123</v>
      </c>
      <c r="B68" s="3" t="s">
        <v>156</v>
      </c>
      <c r="C68" s="3" t="s">
        <v>133</v>
      </c>
      <c r="D68" s="12">
        <v>5460</v>
      </c>
      <c r="E68" s="12" t="s">
        <v>194</v>
      </c>
      <c r="F68" s="12" t="s">
        <v>194</v>
      </c>
      <c r="G68" s="38" t="s">
        <v>194</v>
      </c>
      <c r="H68" s="34">
        <v>4000</v>
      </c>
      <c r="I68" s="52" t="s">
        <v>194</v>
      </c>
      <c r="J68" s="27">
        <f t="shared" si="3"/>
        <v>-0.26739926739926745</v>
      </c>
      <c r="K68" s="34">
        <v>3900</v>
      </c>
      <c r="L68" s="52" t="s">
        <v>194</v>
      </c>
      <c r="M68" s="35">
        <f t="shared" si="0"/>
        <v>-2.5000000000000022E-2</v>
      </c>
      <c r="N68" s="29">
        <v>5250</v>
      </c>
      <c r="O68" s="52" t="s">
        <v>194</v>
      </c>
      <c r="P68" s="35">
        <f t="shared" si="1"/>
        <v>0.34615384615384626</v>
      </c>
      <c r="Q68" s="4"/>
      <c r="R68" s="4"/>
    </row>
    <row r="69" spans="1:18" s="19" customFormat="1" ht="24.75" customHeight="1" x14ac:dyDescent="0.2">
      <c r="A69" s="49" t="s">
        <v>124</v>
      </c>
      <c r="B69" s="3" t="s">
        <v>156</v>
      </c>
      <c r="C69" s="3" t="s">
        <v>135</v>
      </c>
      <c r="D69" s="12">
        <v>36637.800000000003</v>
      </c>
      <c r="E69" s="12" t="s">
        <v>194</v>
      </c>
      <c r="F69" s="12" t="s">
        <v>194</v>
      </c>
      <c r="G69" s="38" t="s">
        <v>194</v>
      </c>
      <c r="H69" s="34">
        <v>33063.800000000003</v>
      </c>
      <c r="I69" s="52" t="s">
        <v>194</v>
      </c>
      <c r="J69" s="27">
        <f t="shared" si="3"/>
        <v>-9.7549525353596511E-2</v>
      </c>
      <c r="K69" s="34">
        <v>12440.4</v>
      </c>
      <c r="L69" s="52" t="s">
        <v>194</v>
      </c>
      <c r="M69" s="35">
        <f t="shared" si="0"/>
        <v>-0.62374560697802428</v>
      </c>
      <c r="N69" s="29">
        <v>48550.3</v>
      </c>
      <c r="O69" s="52" t="s">
        <v>194</v>
      </c>
      <c r="P69" s="35">
        <f t="shared" si="1"/>
        <v>2.9026317481753003</v>
      </c>
      <c r="Q69" s="4"/>
      <c r="R69" s="4"/>
    </row>
    <row r="70" spans="1:18" s="19" customFormat="1" ht="24.75" customHeight="1" x14ac:dyDescent="0.2">
      <c r="A70" s="49" t="s">
        <v>125</v>
      </c>
      <c r="B70" s="18" t="s">
        <v>156</v>
      </c>
      <c r="C70" s="18" t="s">
        <v>137</v>
      </c>
      <c r="D70" s="12">
        <v>364503.9</v>
      </c>
      <c r="E70" s="12" t="s">
        <v>194</v>
      </c>
      <c r="F70" s="12" t="s">
        <v>194</v>
      </c>
      <c r="G70" s="38" t="s">
        <v>194</v>
      </c>
      <c r="H70" s="37">
        <v>66003.899999999994</v>
      </c>
      <c r="I70" s="54" t="s">
        <v>194</v>
      </c>
      <c r="J70" s="27">
        <f t="shared" si="3"/>
        <v>-0.81892127903158241</v>
      </c>
      <c r="K70" s="37">
        <v>78329.600000000006</v>
      </c>
      <c r="L70" s="54" t="s">
        <v>194</v>
      </c>
      <c r="M70" s="35">
        <f t="shared" si="0"/>
        <v>0.18674199554874815</v>
      </c>
      <c r="N70" s="31">
        <v>76979.100000000006</v>
      </c>
      <c r="O70" s="54" t="s">
        <v>194</v>
      </c>
      <c r="P70" s="35">
        <f t="shared" si="1"/>
        <v>-1.724124724242182E-2</v>
      </c>
      <c r="Q70" s="16"/>
      <c r="R70" s="16"/>
    </row>
    <row r="71" spans="1:18" s="19" customFormat="1" ht="24.75" customHeight="1" x14ac:dyDescent="0.2">
      <c r="A71" s="8" t="s">
        <v>4</v>
      </c>
      <c r="B71" s="3" t="s">
        <v>156</v>
      </c>
      <c r="C71" s="3" t="s">
        <v>138</v>
      </c>
      <c r="D71" s="12">
        <v>27739.3</v>
      </c>
      <c r="E71" s="12" t="s">
        <v>194</v>
      </c>
      <c r="F71" s="12" t="s">
        <v>194</v>
      </c>
      <c r="G71" s="38" t="s">
        <v>194</v>
      </c>
      <c r="H71" s="34">
        <v>28936</v>
      </c>
      <c r="I71" s="52" t="s">
        <v>194</v>
      </c>
      <c r="J71" s="27">
        <f t="shared" ref="J71:J134" si="6">IF(D71=0,"-",H71/D71-1)</f>
        <v>4.3140958856207723E-2</v>
      </c>
      <c r="K71" s="34">
        <v>28936</v>
      </c>
      <c r="L71" s="52" t="s">
        <v>194</v>
      </c>
      <c r="M71" s="35">
        <f t="shared" ref="M71:M134" si="7">IF(H71=0,"-",K71/H71-1)</f>
        <v>0</v>
      </c>
      <c r="N71" s="29">
        <v>28936</v>
      </c>
      <c r="O71" s="52" t="s">
        <v>194</v>
      </c>
      <c r="P71" s="35">
        <f t="shared" ref="P71:P134" si="8">IF(K71=0,"-",N71/K71-1)</f>
        <v>0</v>
      </c>
      <c r="Q71" s="4"/>
      <c r="R71" s="4"/>
    </row>
    <row r="72" spans="1:18" s="19" customFormat="1" ht="24.75" customHeight="1" x14ac:dyDescent="0.2">
      <c r="A72" s="8" t="s">
        <v>49</v>
      </c>
      <c r="B72" s="3" t="s">
        <v>156</v>
      </c>
      <c r="C72" s="3" t="s">
        <v>146</v>
      </c>
      <c r="D72" s="12">
        <v>9365.2000000000007</v>
      </c>
      <c r="E72" s="12" t="s">
        <v>194</v>
      </c>
      <c r="F72" s="12" t="s">
        <v>194</v>
      </c>
      <c r="G72" s="38" t="s">
        <v>194</v>
      </c>
      <c r="H72" s="34">
        <v>8512.1</v>
      </c>
      <c r="I72" s="52" t="s">
        <v>194</v>
      </c>
      <c r="J72" s="27">
        <f t="shared" si="6"/>
        <v>-9.1092555417930265E-2</v>
      </c>
      <c r="K72" s="34">
        <v>8512.1</v>
      </c>
      <c r="L72" s="52" t="s">
        <v>194</v>
      </c>
      <c r="M72" s="35">
        <f t="shared" si="7"/>
        <v>0</v>
      </c>
      <c r="N72" s="29">
        <v>8512.1</v>
      </c>
      <c r="O72" s="52" t="s">
        <v>194</v>
      </c>
      <c r="P72" s="35">
        <f t="shared" si="8"/>
        <v>0</v>
      </c>
      <c r="Q72" s="4"/>
      <c r="R72" s="4"/>
    </row>
    <row r="73" spans="1:18" s="19" customFormat="1" ht="24.75" customHeight="1" x14ac:dyDescent="0.2">
      <c r="A73" s="8" t="s">
        <v>50</v>
      </c>
      <c r="B73" s="3" t="s">
        <v>156</v>
      </c>
      <c r="C73" s="3" t="s">
        <v>141</v>
      </c>
      <c r="D73" s="12">
        <v>118241.7</v>
      </c>
      <c r="E73" s="12" t="s">
        <v>194</v>
      </c>
      <c r="F73" s="12" t="s">
        <v>194</v>
      </c>
      <c r="G73" s="38" t="s">
        <v>194</v>
      </c>
      <c r="H73" s="34">
        <v>121459.4</v>
      </c>
      <c r="I73" s="52" t="s">
        <v>194</v>
      </c>
      <c r="J73" s="27">
        <f t="shared" si="6"/>
        <v>2.7212903738697891E-2</v>
      </c>
      <c r="K73" s="34">
        <v>123822.8</v>
      </c>
      <c r="L73" s="52" t="s">
        <v>194</v>
      </c>
      <c r="M73" s="35">
        <f t="shared" si="7"/>
        <v>1.9458353984953103E-2</v>
      </c>
      <c r="N73" s="29">
        <v>123822.8</v>
      </c>
      <c r="O73" s="52" t="s">
        <v>194</v>
      </c>
      <c r="P73" s="35">
        <f t="shared" si="8"/>
        <v>0</v>
      </c>
      <c r="Q73" s="4"/>
      <c r="R73" s="4"/>
    </row>
    <row r="74" spans="1:18" s="19" customFormat="1" ht="24.75" customHeight="1" x14ac:dyDescent="0.2">
      <c r="A74" s="21" t="s">
        <v>110</v>
      </c>
      <c r="B74" s="25" t="s">
        <v>157</v>
      </c>
      <c r="C74" s="25" t="s">
        <v>131</v>
      </c>
      <c r="D74" s="22">
        <v>129474</v>
      </c>
      <c r="E74" s="22">
        <f>99179.6+32541.4</f>
        <v>131721</v>
      </c>
      <c r="F74" s="22">
        <f>94857.8+32900</f>
        <v>127757.8</v>
      </c>
      <c r="G74" s="39">
        <f>96034.1+33001.8</f>
        <v>129035.90000000001</v>
      </c>
      <c r="H74" s="36">
        <v>131721</v>
      </c>
      <c r="I74" s="53">
        <f t="shared" ref="I74:I132" si="9">H74-E74</f>
        <v>0</v>
      </c>
      <c r="J74" s="26">
        <f t="shared" si="6"/>
        <v>1.735483571991292E-2</v>
      </c>
      <c r="K74" s="36">
        <v>127757.8</v>
      </c>
      <c r="L74" s="53">
        <f t="shared" ref="L74:L132" si="10">K74-F74</f>
        <v>0</v>
      </c>
      <c r="M74" s="33">
        <f t="shared" si="7"/>
        <v>-3.0087837170990173E-2</v>
      </c>
      <c r="N74" s="30">
        <v>129035.9</v>
      </c>
      <c r="O74" s="53">
        <f t="shared" ref="O74:O132" si="11">N74-G74</f>
        <v>0</v>
      </c>
      <c r="P74" s="33">
        <f t="shared" si="8"/>
        <v>1.0004085856206046E-2</v>
      </c>
      <c r="Q74" s="4"/>
      <c r="R74" s="4"/>
    </row>
    <row r="75" spans="1:18" s="19" customFormat="1" ht="24.75" customHeight="1" x14ac:dyDescent="0.2">
      <c r="A75" s="8" t="s">
        <v>51</v>
      </c>
      <c r="B75" s="3" t="s">
        <v>157</v>
      </c>
      <c r="C75" s="3" t="s">
        <v>133</v>
      </c>
      <c r="D75" s="12">
        <v>21036.9</v>
      </c>
      <c r="E75" s="12" t="s">
        <v>194</v>
      </c>
      <c r="F75" s="12" t="s">
        <v>194</v>
      </c>
      <c r="G75" s="38" t="s">
        <v>194</v>
      </c>
      <c r="H75" s="34">
        <v>19399.2</v>
      </c>
      <c r="I75" s="52" t="s">
        <v>194</v>
      </c>
      <c r="J75" s="27">
        <f t="shared" si="6"/>
        <v>-7.784892260741838E-2</v>
      </c>
      <c r="K75" s="34">
        <v>21155.599999999999</v>
      </c>
      <c r="L75" s="52" t="s">
        <v>194</v>
      </c>
      <c r="M75" s="35">
        <f t="shared" si="7"/>
        <v>9.053981607488959E-2</v>
      </c>
      <c r="N75" s="29">
        <v>21155.599999999999</v>
      </c>
      <c r="O75" s="52" t="s">
        <v>194</v>
      </c>
      <c r="P75" s="35">
        <f t="shared" si="8"/>
        <v>0</v>
      </c>
      <c r="Q75" s="4"/>
      <c r="R75" s="4"/>
    </row>
    <row r="76" spans="1:18" s="19" customFormat="1" ht="24.75" customHeight="1" x14ac:dyDescent="0.2">
      <c r="A76" s="8" t="s">
        <v>52</v>
      </c>
      <c r="B76" s="3" t="s">
        <v>157</v>
      </c>
      <c r="C76" s="3" t="s">
        <v>135</v>
      </c>
      <c r="D76" s="12">
        <v>596</v>
      </c>
      <c r="E76" s="12" t="s">
        <v>194</v>
      </c>
      <c r="F76" s="12" t="s">
        <v>194</v>
      </c>
      <c r="G76" s="38" t="s">
        <v>194</v>
      </c>
      <c r="H76" s="34">
        <v>596</v>
      </c>
      <c r="I76" s="52" t="s">
        <v>194</v>
      </c>
      <c r="J76" s="27">
        <f t="shared" si="6"/>
        <v>0</v>
      </c>
      <c r="K76" s="34">
        <v>596</v>
      </c>
      <c r="L76" s="52" t="s">
        <v>194</v>
      </c>
      <c r="M76" s="35">
        <f t="shared" si="7"/>
        <v>0</v>
      </c>
      <c r="N76" s="29">
        <v>596</v>
      </c>
      <c r="O76" s="52" t="s">
        <v>194</v>
      </c>
      <c r="P76" s="35">
        <f t="shared" si="8"/>
        <v>0</v>
      </c>
      <c r="Q76" s="4"/>
      <c r="R76" s="4"/>
    </row>
    <row r="77" spans="1:18" s="19" customFormat="1" ht="24.75" customHeight="1" x14ac:dyDescent="0.2">
      <c r="A77" s="15" t="s">
        <v>53</v>
      </c>
      <c r="B77" s="18" t="s">
        <v>157</v>
      </c>
      <c r="C77" s="18" t="s">
        <v>137</v>
      </c>
      <c r="D77" s="12">
        <v>10267.799999999999</v>
      </c>
      <c r="E77" s="12" t="s">
        <v>194</v>
      </c>
      <c r="F77" s="12" t="s">
        <v>194</v>
      </c>
      <c r="G77" s="38" t="s">
        <v>194</v>
      </c>
      <c r="H77" s="37">
        <v>12227</v>
      </c>
      <c r="I77" s="54" t="s">
        <v>194</v>
      </c>
      <c r="J77" s="27">
        <f t="shared" si="6"/>
        <v>0.19081010537797782</v>
      </c>
      <c r="K77" s="37">
        <v>7929.2</v>
      </c>
      <c r="L77" s="54" t="s">
        <v>194</v>
      </c>
      <c r="M77" s="35">
        <f t="shared" si="7"/>
        <v>-0.35150077696900306</v>
      </c>
      <c r="N77" s="31">
        <v>9105.5</v>
      </c>
      <c r="O77" s="54" t="s">
        <v>194</v>
      </c>
      <c r="P77" s="35">
        <f t="shared" si="8"/>
        <v>0.14835040104928621</v>
      </c>
      <c r="Q77" s="16"/>
      <c r="R77" s="16"/>
    </row>
    <row r="78" spans="1:18" s="19" customFormat="1" ht="24.75" customHeight="1" x14ac:dyDescent="0.2">
      <c r="A78" s="8" t="s">
        <v>54</v>
      </c>
      <c r="B78" s="3" t="s">
        <v>157</v>
      </c>
      <c r="C78" s="3" t="s">
        <v>138</v>
      </c>
      <c r="D78" s="12">
        <v>709.6</v>
      </c>
      <c r="E78" s="12" t="s">
        <v>194</v>
      </c>
      <c r="F78" s="12" t="s">
        <v>194</v>
      </c>
      <c r="G78" s="38" t="s">
        <v>194</v>
      </c>
      <c r="H78" s="34">
        <v>453.5</v>
      </c>
      <c r="I78" s="52" t="s">
        <v>194</v>
      </c>
      <c r="J78" s="27">
        <f t="shared" si="6"/>
        <v>-0.36090755355129656</v>
      </c>
      <c r="K78" s="34">
        <v>529.1</v>
      </c>
      <c r="L78" s="52" t="s">
        <v>194</v>
      </c>
      <c r="M78" s="35">
        <f t="shared" si="7"/>
        <v>0.16670341786108045</v>
      </c>
      <c r="N78" s="29">
        <v>529.1</v>
      </c>
      <c r="O78" s="52" t="s">
        <v>194</v>
      </c>
      <c r="P78" s="35">
        <f t="shared" si="8"/>
        <v>0</v>
      </c>
      <c r="Q78" s="4"/>
      <c r="R78" s="4"/>
    </row>
    <row r="79" spans="1:18" s="19" customFormat="1" ht="24.75" customHeight="1" x14ac:dyDescent="0.2">
      <c r="A79" s="8" t="s">
        <v>4</v>
      </c>
      <c r="B79" s="3" t="s">
        <v>157</v>
      </c>
      <c r="C79" s="3" t="s">
        <v>140</v>
      </c>
      <c r="D79" s="12">
        <v>96863.7</v>
      </c>
      <c r="E79" s="12" t="s">
        <v>194</v>
      </c>
      <c r="F79" s="12" t="s">
        <v>194</v>
      </c>
      <c r="G79" s="38" t="s">
        <v>194</v>
      </c>
      <c r="H79" s="34">
        <v>99045.3</v>
      </c>
      <c r="I79" s="52" t="s">
        <v>194</v>
      </c>
      <c r="J79" s="27">
        <f t="shared" si="6"/>
        <v>2.2522369060855585E-2</v>
      </c>
      <c r="K79" s="34">
        <v>97547.9</v>
      </c>
      <c r="L79" s="52" t="s">
        <v>194</v>
      </c>
      <c r="M79" s="35">
        <f t="shared" si="7"/>
        <v>-1.5118334741779815E-2</v>
      </c>
      <c r="N79" s="29">
        <v>97649.7</v>
      </c>
      <c r="O79" s="52" t="s">
        <v>194</v>
      </c>
      <c r="P79" s="35">
        <f t="shared" si="8"/>
        <v>1.0435898671319332E-3</v>
      </c>
      <c r="Q79" s="4"/>
      <c r="R79" s="4"/>
    </row>
    <row r="80" spans="1:18" s="19" customFormat="1" ht="24.75" customHeight="1" x14ac:dyDescent="0.2">
      <c r="A80" s="21" t="s">
        <v>158</v>
      </c>
      <c r="B80" s="25" t="s">
        <v>159</v>
      </c>
      <c r="C80" s="25" t="s">
        <v>131</v>
      </c>
      <c r="D80" s="77">
        <v>1385066.2</v>
      </c>
      <c r="E80" s="22">
        <f>724161.1+461230.6</f>
        <v>1185391.7</v>
      </c>
      <c r="F80" s="22">
        <f>759665.5+476116.5</f>
        <v>1235782</v>
      </c>
      <c r="G80" s="39">
        <f>853683.6+480550</f>
        <v>1334233.6000000001</v>
      </c>
      <c r="H80" s="36">
        <v>519744.2</v>
      </c>
      <c r="I80" s="55">
        <f t="shared" si="9"/>
        <v>-665647.5</v>
      </c>
      <c r="J80" s="83">
        <f>IF(D80=0,"-",(H80+H85)/D80-1)</f>
        <v>-0.19478224217730533</v>
      </c>
      <c r="K80" s="36">
        <v>476116.5</v>
      </c>
      <c r="L80" s="56">
        <f t="shared" si="10"/>
        <v>-759665.5</v>
      </c>
      <c r="M80" s="33">
        <f t="shared" si="7"/>
        <v>-8.3940715451947367E-2</v>
      </c>
      <c r="N80" s="30">
        <v>480550</v>
      </c>
      <c r="O80" s="56">
        <f t="shared" si="11"/>
        <v>-853683.60000000009</v>
      </c>
      <c r="P80" s="33">
        <f t="shared" si="8"/>
        <v>9.311796587599952E-3</v>
      </c>
      <c r="Q80" s="4"/>
      <c r="R80" s="4"/>
    </row>
    <row r="81" spans="1:18" s="19" customFormat="1" ht="24.75" customHeight="1" x14ac:dyDescent="0.2">
      <c r="A81" s="8" t="s">
        <v>160</v>
      </c>
      <c r="B81" s="3" t="s">
        <v>159</v>
      </c>
      <c r="C81" s="3" t="s">
        <v>133</v>
      </c>
      <c r="D81" s="78"/>
      <c r="E81" s="12" t="s">
        <v>194</v>
      </c>
      <c r="F81" s="12" t="s">
        <v>194</v>
      </c>
      <c r="G81" s="38" t="s">
        <v>194</v>
      </c>
      <c r="H81" s="34">
        <v>302621.59999999998</v>
      </c>
      <c r="I81" s="52" t="s">
        <v>194</v>
      </c>
      <c r="J81" s="81"/>
      <c r="K81" s="34">
        <v>253108</v>
      </c>
      <c r="L81" s="52" t="s">
        <v>194</v>
      </c>
      <c r="M81" s="35">
        <f t="shared" si="7"/>
        <v>-0.16361555156670904</v>
      </c>
      <c r="N81" s="29">
        <v>253108</v>
      </c>
      <c r="O81" s="52" t="s">
        <v>194</v>
      </c>
      <c r="P81" s="35">
        <f t="shared" si="8"/>
        <v>0</v>
      </c>
      <c r="Q81" s="4"/>
      <c r="R81" s="4"/>
    </row>
    <row r="82" spans="1:18" s="19" customFormat="1" ht="24.75" customHeight="1" x14ac:dyDescent="0.2">
      <c r="A82" s="8" t="s">
        <v>161</v>
      </c>
      <c r="B82" s="3" t="s">
        <v>159</v>
      </c>
      <c r="C82" s="3" t="s">
        <v>135</v>
      </c>
      <c r="D82" s="78"/>
      <c r="E82" s="12" t="s">
        <v>194</v>
      </c>
      <c r="F82" s="12" t="s">
        <v>194</v>
      </c>
      <c r="G82" s="38" t="s">
        <v>194</v>
      </c>
      <c r="H82" s="34">
        <v>100000</v>
      </c>
      <c r="I82" s="52" t="s">
        <v>194</v>
      </c>
      <c r="J82" s="81"/>
      <c r="K82" s="34">
        <v>100000</v>
      </c>
      <c r="L82" s="52" t="s">
        <v>194</v>
      </c>
      <c r="M82" s="35">
        <f t="shared" si="7"/>
        <v>0</v>
      </c>
      <c r="N82" s="29">
        <v>100000</v>
      </c>
      <c r="O82" s="52" t="s">
        <v>194</v>
      </c>
      <c r="P82" s="35">
        <f t="shared" si="8"/>
        <v>0</v>
      </c>
      <c r="Q82" s="4"/>
      <c r="R82" s="4"/>
    </row>
    <row r="83" spans="1:18" s="19" customFormat="1" ht="24.75" customHeight="1" x14ac:dyDescent="0.2">
      <c r="A83" s="15" t="s">
        <v>162</v>
      </c>
      <c r="B83" s="18" t="s">
        <v>159</v>
      </c>
      <c r="C83" s="18" t="s">
        <v>137</v>
      </c>
      <c r="D83" s="78"/>
      <c r="E83" s="12" t="s">
        <v>194</v>
      </c>
      <c r="F83" s="12" t="s">
        <v>194</v>
      </c>
      <c r="G83" s="38" t="s">
        <v>194</v>
      </c>
      <c r="H83" s="37">
        <v>27735.3</v>
      </c>
      <c r="I83" s="54" t="s">
        <v>194</v>
      </c>
      <c r="J83" s="81"/>
      <c r="K83" s="37">
        <v>31652.7</v>
      </c>
      <c r="L83" s="54" t="s">
        <v>194</v>
      </c>
      <c r="M83" s="35">
        <f t="shared" si="7"/>
        <v>0.14124238785951482</v>
      </c>
      <c r="N83" s="31">
        <v>35570.1</v>
      </c>
      <c r="O83" s="54" t="s">
        <v>194</v>
      </c>
      <c r="P83" s="35">
        <f t="shared" si="8"/>
        <v>0.12376195395653444</v>
      </c>
      <c r="Q83" s="16"/>
      <c r="R83" s="16"/>
    </row>
    <row r="84" spans="1:18" s="19" customFormat="1" ht="24.75" customHeight="1" x14ac:dyDescent="0.2">
      <c r="A84" s="8" t="s">
        <v>4</v>
      </c>
      <c r="B84" s="3" t="s">
        <v>159</v>
      </c>
      <c r="C84" s="3" t="s">
        <v>138</v>
      </c>
      <c r="D84" s="78"/>
      <c r="E84" s="12" t="s">
        <v>194</v>
      </c>
      <c r="F84" s="12" t="s">
        <v>194</v>
      </c>
      <c r="G84" s="38" t="s">
        <v>194</v>
      </c>
      <c r="H84" s="34">
        <v>89387.3</v>
      </c>
      <c r="I84" s="52" t="s">
        <v>194</v>
      </c>
      <c r="J84" s="81"/>
      <c r="K84" s="34">
        <v>91355.8</v>
      </c>
      <c r="L84" s="52" t="s">
        <v>194</v>
      </c>
      <c r="M84" s="35">
        <f t="shared" si="7"/>
        <v>2.2022144085345419E-2</v>
      </c>
      <c r="N84" s="29">
        <v>91871.9</v>
      </c>
      <c r="O84" s="52" t="s">
        <v>194</v>
      </c>
      <c r="P84" s="35">
        <f t="shared" si="8"/>
        <v>5.6493402717725516E-3</v>
      </c>
      <c r="Q84" s="4"/>
      <c r="R84" s="4"/>
    </row>
    <row r="85" spans="1:18" s="19" customFormat="1" ht="24.75" customHeight="1" x14ac:dyDescent="0.2">
      <c r="A85" s="21" t="s">
        <v>163</v>
      </c>
      <c r="B85" s="25" t="s">
        <v>164</v>
      </c>
      <c r="C85" s="25" t="s">
        <v>131</v>
      </c>
      <c r="D85" s="78"/>
      <c r="E85" s="22">
        <v>595535.69999999995</v>
      </c>
      <c r="F85" s="22">
        <v>380469.9</v>
      </c>
      <c r="G85" s="39">
        <v>381979.6</v>
      </c>
      <c r="H85" s="36">
        <v>595535.69999999995</v>
      </c>
      <c r="I85" s="53">
        <f t="shared" si="9"/>
        <v>0</v>
      </c>
      <c r="J85" s="81"/>
      <c r="K85" s="36">
        <v>380469.9</v>
      </c>
      <c r="L85" s="53">
        <f t="shared" si="10"/>
        <v>0</v>
      </c>
      <c r="M85" s="33">
        <f t="shared" si="7"/>
        <v>-0.36112998767328297</v>
      </c>
      <c r="N85" s="30">
        <v>381979.6</v>
      </c>
      <c r="O85" s="53">
        <f t="shared" si="11"/>
        <v>0</v>
      </c>
      <c r="P85" s="33">
        <f t="shared" si="8"/>
        <v>3.9679880064098505E-3</v>
      </c>
      <c r="Q85" s="4"/>
      <c r="R85" s="4"/>
    </row>
    <row r="86" spans="1:18" s="19" customFormat="1" ht="24.75" customHeight="1" x14ac:dyDescent="0.2">
      <c r="A86" s="8" t="s">
        <v>165</v>
      </c>
      <c r="B86" s="3" t="s">
        <v>164</v>
      </c>
      <c r="C86" s="3" t="s">
        <v>133</v>
      </c>
      <c r="D86" s="78"/>
      <c r="E86" s="12" t="s">
        <v>194</v>
      </c>
      <c r="F86" s="12" t="s">
        <v>194</v>
      </c>
      <c r="G86" s="38" t="s">
        <v>194</v>
      </c>
      <c r="H86" s="34">
        <v>347290.2</v>
      </c>
      <c r="I86" s="52" t="s">
        <v>194</v>
      </c>
      <c r="J86" s="81"/>
      <c r="K86" s="34">
        <v>130650.2</v>
      </c>
      <c r="L86" s="52" t="s">
        <v>194</v>
      </c>
      <c r="M86" s="35">
        <f t="shared" si="7"/>
        <v>-0.62380107472079549</v>
      </c>
      <c r="N86" s="29">
        <v>130650.2</v>
      </c>
      <c r="O86" s="52" t="s">
        <v>194</v>
      </c>
      <c r="P86" s="35">
        <f t="shared" si="8"/>
        <v>0</v>
      </c>
      <c r="Q86" s="4"/>
      <c r="R86" s="4"/>
    </row>
    <row r="87" spans="1:18" s="19" customFormat="1" ht="24.75" customHeight="1" x14ac:dyDescent="0.2">
      <c r="A87" s="8" t="s">
        <v>166</v>
      </c>
      <c r="B87" s="3" t="s">
        <v>164</v>
      </c>
      <c r="C87" s="3" t="s">
        <v>135</v>
      </c>
      <c r="D87" s="78"/>
      <c r="E87" s="12" t="s">
        <v>194</v>
      </c>
      <c r="F87" s="12" t="s">
        <v>194</v>
      </c>
      <c r="G87" s="38" t="s">
        <v>194</v>
      </c>
      <c r="H87" s="34">
        <v>189260</v>
      </c>
      <c r="I87" s="52" t="s">
        <v>194</v>
      </c>
      <c r="J87" s="81"/>
      <c r="K87" s="34">
        <v>189260</v>
      </c>
      <c r="L87" s="52" t="s">
        <v>194</v>
      </c>
      <c r="M87" s="35">
        <f t="shared" si="7"/>
        <v>0</v>
      </c>
      <c r="N87" s="29">
        <v>189260</v>
      </c>
      <c r="O87" s="52" t="s">
        <v>194</v>
      </c>
      <c r="P87" s="35">
        <f t="shared" si="8"/>
        <v>0</v>
      </c>
      <c r="Q87" s="4"/>
      <c r="R87" s="4"/>
    </row>
    <row r="88" spans="1:18" s="19" customFormat="1" ht="24.75" customHeight="1" x14ac:dyDescent="0.2">
      <c r="A88" s="49" t="s">
        <v>167</v>
      </c>
      <c r="B88" s="3" t="s">
        <v>164</v>
      </c>
      <c r="C88" s="3" t="s">
        <v>137</v>
      </c>
      <c r="D88" s="79"/>
      <c r="E88" s="12" t="s">
        <v>194</v>
      </c>
      <c r="F88" s="12" t="s">
        <v>194</v>
      </c>
      <c r="G88" s="38" t="s">
        <v>194</v>
      </c>
      <c r="H88" s="34">
        <v>58985.5</v>
      </c>
      <c r="I88" s="52" t="s">
        <v>194</v>
      </c>
      <c r="J88" s="82"/>
      <c r="K88" s="34">
        <v>60559.7</v>
      </c>
      <c r="L88" s="52" t="s">
        <v>194</v>
      </c>
      <c r="M88" s="35">
        <f t="shared" si="7"/>
        <v>2.6687914826525105E-2</v>
      </c>
      <c r="N88" s="29">
        <v>62069.4</v>
      </c>
      <c r="O88" s="52" t="s">
        <v>194</v>
      </c>
      <c r="P88" s="35">
        <f t="shared" si="8"/>
        <v>2.4929119529984556E-2</v>
      </c>
      <c r="Q88" s="4"/>
      <c r="R88" s="4"/>
    </row>
    <row r="89" spans="1:18" s="19" customFormat="1" ht="24.75" customHeight="1" x14ac:dyDescent="0.2">
      <c r="A89" s="21" t="s">
        <v>55</v>
      </c>
      <c r="B89" s="25" t="s">
        <v>168</v>
      </c>
      <c r="C89" s="25" t="s">
        <v>131</v>
      </c>
      <c r="D89" s="22">
        <v>3590.8</v>
      </c>
      <c r="E89" s="22">
        <v>3590.8</v>
      </c>
      <c r="F89" s="22">
        <v>3590.8</v>
      </c>
      <c r="G89" s="39">
        <v>3590.8</v>
      </c>
      <c r="H89" s="36">
        <v>3590.8</v>
      </c>
      <c r="I89" s="53">
        <f t="shared" si="9"/>
        <v>0</v>
      </c>
      <c r="J89" s="26">
        <f t="shared" si="6"/>
        <v>0</v>
      </c>
      <c r="K89" s="36">
        <v>3590.8</v>
      </c>
      <c r="L89" s="53">
        <f t="shared" si="10"/>
        <v>0</v>
      </c>
      <c r="M89" s="33">
        <f t="shared" si="7"/>
        <v>0</v>
      </c>
      <c r="N89" s="30">
        <v>3590.8</v>
      </c>
      <c r="O89" s="53">
        <f t="shared" si="11"/>
        <v>0</v>
      </c>
      <c r="P89" s="33">
        <f t="shared" si="8"/>
        <v>0</v>
      </c>
      <c r="Q89" s="4"/>
      <c r="R89" s="4"/>
    </row>
    <row r="90" spans="1:18" s="19" customFormat="1" ht="24.75" customHeight="1" x14ac:dyDescent="0.2">
      <c r="A90" s="49" t="s">
        <v>56</v>
      </c>
      <c r="B90" s="3" t="s">
        <v>168</v>
      </c>
      <c r="C90" s="3" t="s">
        <v>133</v>
      </c>
      <c r="D90" s="12">
        <v>3590.8</v>
      </c>
      <c r="E90" s="12" t="s">
        <v>194</v>
      </c>
      <c r="F90" s="12" t="s">
        <v>194</v>
      </c>
      <c r="G90" s="38" t="s">
        <v>194</v>
      </c>
      <c r="H90" s="34">
        <v>3590.8</v>
      </c>
      <c r="I90" s="52" t="s">
        <v>194</v>
      </c>
      <c r="J90" s="27">
        <f t="shared" si="6"/>
        <v>0</v>
      </c>
      <c r="K90" s="34">
        <v>3590.8</v>
      </c>
      <c r="L90" s="52" t="s">
        <v>194</v>
      </c>
      <c r="M90" s="35">
        <f t="shared" si="7"/>
        <v>0</v>
      </c>
      <c r="N90" s="29">
        <v>3590.8</v>
      </c>
      <c r="O90" s="52" t="s">
        <v>194</v>
      </c>
      <c r="P90" s="35">
        <f t="shared" si="8"/>
        <v>0</v>
      </c>
      <c r="Q90" s="4"/>
      <c r="R90" s="4"/>
    </row>
    <row r="91" spans="1:18" s="19" customFormat="1" ht="24.75" customHeight="1" x14ac:dyDescent="0.2">
      <c r="A91" s="23" t="s">
        <v>169</v>
      </c>
      <c r="B91" s="25" t="s">
        <v>170</v>
      </c>
      <c r="C91" s="25" t="s">
        <v>131</v>
      </c>
      <c r="D91" s="22">
        <v>1173368.8999999999</v>
      </c>
      <c r="E91" s="22">
        <v>1173840.3</v>
      </c>
      <c r="F91" s="22">
        <v>1054806.6000000001</v>
      </c>
      <c r="G91" s="39">
        <v>1054806.6000000001</v>
      </c>
      <c r="H91" s="36">
        <v>1173840.3</v>
      </c>
      <c r="I91" s="53">
        <f t="shared" si="9"/>
        <v>0</v>
      </c>
      <c r="J91" s="26">
        <f t="shared" si="6"/>
        <v>4.017491856143085E-4</v>
      </c>
      <c r="K91" s="36">
        <v>1054806.6000000001</v>
      </c>
      <c r="L91" s="53">
        <f t="shared" si="10"/>
        <v>0</v>
      </c>
      <c r="M91" s="33">
        <f t="shared" si="7"/>
        <v>-0.10140536153001389</v>
      </c>
      <c r="N91" s="30">
        <v>1054806.6000000001</v>
      </c>
      <c r="O91" s="53">
        <f t="shared" si="11"/>
        <v>0</v>
      </c>
      <c r="P91" s="33">
        <f t="shared" si="8"/>
        <v>0</v>
      </c>
      <c r="Q91" s="4"/>
      <c r="R91" s="4"/>
    </row>
    <row r="92" spans="1:18" s="19" customFormat="1" ht="24.75" customHeight="1" x14ac:dyDescent="0.2">
      <c r="A92" s="15" t="s">
        <v>57</v>
      </c>
      <c r="B92" s="3" t="s">
        <v>170</v>
      </c>
      <c r="C92" s="3" t="s">
        <v>133</v>
      </c>
      <c r="D92" s="12">
        <v>1147784.6000000001</v>
      </c>
      <c r="E92" s="12" t="s">
        <v>194</v>
      </c>
      <c r="F92" s="12" t="s">
        <v>194</v>
      </c>
      <c r="G92" s="38" t="s">
        <v>194</v>
      </c>
      <c r="H92" s="34">
        <v>1148043</v>
      </c>
      <c r="I92" s="52" t="s">
        <v>194</v>
      </c>
      <c r="J92" s="27">
        <f t="shared" si="6"/>
        <v>2.2512934918261784E-4</v>
      </c>
      <c r="K92" s="34">
        <v>1029009.3</v>
      </c>
      <c r="L92" s="52" t="s">
        <v>194</v>
      </c>
      <c r="M92" s="35">
        <f t="shared" si="7"/>
        <v>-0.10368400835160352</v>
      </c>
      <c r="N92" s="29">
        <v>1029009.3</v>
      </c>
      <c r="O92" s="52" t="s">
        <v>194</v>
      </c>
      <c r="P92" s="35">
        <f t="shared" si="8"/>
        <v>0</v>
      </c>
      <c r="Q92" s="4"/>
      <c r="R92" s="4"/>
    </row>
    <row r="93" spans="1:18" s="19" customFormat="1" ht="24.75" customHeight="1" x14ac:dyDescent="0.2">
      <c r="A93" s="15" t="s">
        <v>4</v>
      </c>
      <c r="B93" s="3" t="s">
        <v>170</v>
      </c>
      <c r="C93" s="3" t="s">
        <v>138</v>
      </c>
      <c r="D93" s="12">
        <v>25584.3</v>
      </c>
      <c r="E93" s="12" t="s">
        <v>194</v>
      </c>
      <c r="F93" s="12" t="s">
        <v>194</v>
      </c>
      <c r="G93" s="38" t="s">
        <v>194</v>
      </c>
      <c r="H93" s="34">
        <v>25797.3</v>
      </c>
      <c r="I93" s="52" t="s">
        <v>194</v>
      </c>
      <c r="J93" s="27">
        <f t="shared" si="6"/>
        <v>8.3254183229559686E-3</v>
      </c>
      <c r="K93" s="34">
        <v>25797.3</v>
      </c>
      <c r="L93" s="52" t="s">
        <v>194</v>
      </c>
      <c r="M93" s="35">
        <f t="shared" si="7"/>
        <v>0</v>
      </c>
      <c r="N93" s="29">
        <v>25797.3</v>
      </c>
      <c r="O93" s="52" t="s">
        <v>194</v>
      </c>
      <c r="P93" s="35">
        <f t="shared" si="8"/>
        <v>0</v>
      </c>
      <c r="Q93" s="4"/>
      <c r="R93" s="4"/>
    </row>
    <row r="94" spans="1:18" s="19" customFormat="1" ht="24.75" customHeight="1" x14ac:dyDescent="0.2">
      <c r="A94" s="23" t="s">
        <v>58</v>
      </c>
      <c r="B94" s="24" t="s">
        <v>171</v>
      </c>
      <c r="C94" s="24" t="s">
        <v>131</v>
      </c>
      <c r="D94" s="22">
        <v>4615717.5999999996</v>
      </c>
      <c r="E94" s="22">
        <f>758524.9+4414249.1</f>
        <v>5172774</v>
      </c>
      <c r="F94" s="22">
        <f>758524.9+4968995.9</f>
        <v>5727520.8000000007</v>
      </c>
      <c r="G94" s="39">
        <f>758524.9+5888902.1</f>
        <v>6647427</v>
      </c>
      <c r="H94" s="32">
        <v>4414249.0999999996</v>
      </c>
      <c r="I94" s="56">
        <f t="shared" si="9"/>
        <v>-758524.90000000037</v>
      </c>
      <c r="J94" s="26">
        <f t="shared" si="6"/>
        <v>-4.3648359249708002E-2</v>
      </c>
      <c r="K94" s="32">
        <v>4968995.9000000004</v>
      </c>
      <c r="L94" s="56">
        <f t="shared" si="10"/>
        <v>-758524.90000000037</v>
      </c>
      <c r="M94" s="33">
        <f t="shared" si="7"/>
        <v>0.12567183850136621</v>
      </c>
      <c r="N94" s="28">
        <v>5888902.0999999996</v>
      </c>
      <c r="O94" s="56">
        <f t="shared" si="11"/>
        <v>-758524.90000000037</v>
      </c>
      <c r="P94" s="33">
        <f t="shared" si="8"/>
        <v>0.18512919280130613</v>
      </c>
      <c r="Q94" s="16"/>
      <c r="R94" s="16"/>
    </row>
    <row r="95" spans="1:18" s="19" customFormat="1" ht="24.75" customHeight="1" x14ac:dyDescent="0.2">
      <c r="A95" s="15" t="s">
        <v>59</v>
      </c>
      <c r="B95" s="3" t="s">
        <v>171</v>
      </c>
      <c r="C95" s="3" t="s">
        <v>133</v>
      </c>
      <c r="D95" s="12">
        <v>4570391.3</v>
      </c>
      <c r="E95" s="12" t="s">
        <v>194</v>
      </c>
      <c r="F95" s="12" t="s">
        <v>194</v>
      </c>
      <c r="G95" s="38" t="s">
        <v>194</v>
      </c>
      <c r="H95" s="34">
        <v>4224022.8</v>
      </c>
      <c r="I95" s="52" t="s">
        <v>194</v>
      </c>
      <c r="J95" s="27">
        <f t="shared" si="6"/>
        <v>-7.578530529760108E-2</v>
      </c>
      <c r="K95" s="34">
        <v>4968995.9000000004</v>
      </c>
      <c r="L95" s="52" t="s">
        <v>194</v>
      </c>
      <c r="M95" s="35">
        <f t="shared" si="7"/>
        <v>0.17636578571498251</v>
      </c>
      <c r="N95" s="29">
        <v>5888902.0999999996</v>
      </c>
      <c r="O95" s="52" t="s">
        <v>194</v>
      </c>
      <c r="P95" s="35">
        <f t="shared" si="8"/>
        <v>0.18512919280130613</v>
      </c>
      <c r="Q95" s="4"/>
      <c r="R95" s="4"/>
    </row>
    <row r="96" spans="1:18" s="19" customFormat="1" ht="24.75" customHeight="1" x14ac:dyDescent="0.2">
      <c r="A96" s="15" t="s">
        <v>126</v>
      </c>
      <c r="B96" s="18" t="s">
        <v>171</v>
      </c>
      <c r="C96" s="18" t="s">
        <v>135</v>
      </c>
      <c r="D96" s="12">
        <v>45326.3</v>
      </c>
      <c r="E96" s="12" t="s">
        <v>194</v>
      </c>
      <c r="F96" s="12" t="s">
        <v>194</v>
      </c>
      <c r="G96" s="38" t="s">
        <v>194</v>
      </c>
      <c r="H96" s="37">
        <v>190226.3</v>
      </c>
      <c r="I96" s="54" t="s">
        <v>194</v>
      </c>
      <c r="J96" s="27">
        <f t="shared" si="6"/>
        <v>3.1968195065557961</v>
      </c>
      <c r="K96" s="37">
        <v>0</v>
      </c>
      <c r="L96" s="54" t="s">
        <v>194</v>
      </c>
      <c r="M96" s="35">
        <f t="shared" si="7"/>
        <v>-1</v>
      </c>
      <c r="N96" s="31">
        <v>0</v>
      </c>
      <c r="O96" s="54" t="s">
        <v>194</v>
      </c>
      <c r="P96" s="35" t="str">
        <f t="shared" si="8"/>
        <v>-</v>
      </c>
      <c r="Q96" s="16"/>
      <c r="R96" s="16"/>
    </row>
    <row r="97" spans="1:18" s="19" customFormat="1" ht="24.75" customHeight="1" x14ac:dyDescent="0.2">
      <c r="A97" s="21" t="s">
        <v>60</v>
      </c>
      <c r="B97" s="25" t="s">
        <v>172</v>
      </c>
      <c r="C97" s="25" t="s">
        <v>131</v>
      </c>
      <c r="D97" s="22">
        <v>897144</v>
      </c>
      <c r="E97" s="22">
        <v>258900</v>
      </c>
      <c r="F97" s="22">
        <v>82900</v>
      </c>
      <c r="G97" s="39">
        <v>82900</v>
      </c>
      <c r="H97" s="36">
        <v>258900</v>
      </c>
      <c r="I97" s="53">
        <f t="shared" si="9"/>
        <v>0</v>
      </c>
      <c r="J97" s="26">
        <f t="shared" si="6"/>
        <v>-0.71141756507316556</v>
      </c>
      <c r="K97" s="36">
        <v>82900</v>
      </c>
      <c r="L97" s="53">
        <f t="shared" si="10"/>
        <v>0</v>
      </c>
      <c r="M97" s="33">
        <f t="shared" si="7"/>
        <v>-0.67979915025106219</v>
      </c>
      <c r="N97" s="30">
        <v>82900</v>
      </c>
      <c r="O97" s="53">
        <f t="shared" si="11"/>
        <v>0</v>
      </c>
      <c r="P97" s="33">
        <f t="shared" si="8"/>
        <v>0</v>
      </c>
      <c r="Q97" s="4"/>
      <c r="R97" s="4"/>
    </row>
    <row r="98" spans="1:18" s="19" customFormat="1" ht="24.75" customHeight="1" x14ac:dyDescent="0.2">
      <c r="A98" s="8" t="s">
        <v>61</v>
      </c>
      <c r="B98" s="3" t="s">
        <v>172</v>
      </c>
      <c r="C98" s="3" t="s">
        <v>133</v>
      </c>
      <c r="D98" s="12">
        <v>15000</v>
      </c>
      <c r="E98" s="12" t="s">
        <v>194</v>
      </c>
      <c r="F98" s="12" t="s">
        <v>194</v>
      </c>
      <c r="G98" s="38" t="s">
        <v>194</v>
      </c>
      <c r="H98" s="34">
        <v>1000</v>
      </c>
      <c r="I98" s="52" t="s">
        <v>194</v>
      </c>
      <c r="J98" s="27">
        <f t="shared" si="6"/>
        <v>-0.93333333333333335</v>
      </c>
      <c r="K98" s="34">
        <v>0</v>
      </c>
      <c r="L98" s="52" t="s">
        <v>194</v>
      </c>
      <c r="M98" s="35">
        <f t="shared" si="7"/>
        <v>-1</v>
      </c>
      <c r="N98" s="29">
        <v>0</v>
      </c>
      <c r="O98" s="52" t="s">
        <v>194</v>
      </c>
      <c r="P98" s="35" t="str">
        <f t="shared" si="8"/>
        <v>-</v>
      </c>
      <c r="Q98" s="4"/>
      <c r="R98" s="4"/>
    </row>
    <row r="99" spans="1:18" s="19" customFormat="1" ht="24.75" customHeight="1" x14ac:dyDescent="0.2">
      <c r="A99" s="15" t="s">
        <v>62</v>
      </c>
      <c r="B99" s="18" t="s">
        <v>172</v>
      </c>
      <c r="C99" s="18" t="s">
        <v>135</v>
      </c>
      <c r="D99" s="12">
        <v>822900</v>
      </c>
      <c r="E99" s="12" t="s">
        <v>194</v>
      </c>
      <c r="F99" s="12" t="s">
        <v>194</v>
      </c>
      <c r="G99" s="38" t="s">
        <v>194</v>
      </c>
      <c r="H99" s="37">
        <v>210000</v>
      </c>
      <c r="I99" s="54" t="s">
        <v>194</v>
      </c>
      <c r="J99" s="27">
        <f t="shared" si="6"/>
        <v>-0.74480495807510028</v>
      </c>
      <c r="K99" s="37">
        <v>44000</v>
      </c>
      <c r="L99" s="54" t="s">
        <v>194</v>
      </c>
      <c r="M99" s="35">
        <f t="shared" si="7"/>
        <v>-0.79047619047619044</v>
      </c>
      <c r="N99" s="31">
        <v>44000</v>
      </c>
      <c r="O99" s="54" t="s">
        <v>194</v>
      </c>
      <c r="P99" s="35">
        <f t="shared" si="8"/>
        <v>0</v>
      </c>
      <c r="Q99" s="17"/>
      <c r="R99" s="17"/>
    </row>
    <row r="100" spans="1:18" s="19" customFormat="1" ht="24.75" customHeight="1" x14ac:dyDescent="0.2">
      <c r="A100" s="8" t="s">
        <v>63</v>
      </c>
      <c r="B100" s="3" t="s">
        <v>172</v>
      </c>
      <c r="C100" s="3" t="s">
        <v>137</v>
      </c>
      <c r="D100" s="12">
        <v>59244</v>
      </c>
      <c r="E100" s="12" t="s">
        <v>194</v>
      </c>
      <c r="F100" s="12" t="s">
        <v>194</v>
      </c>
      <c r="G100" s="38" t="s">
        <v>194</v>
      </c>
      <c r="H100" s="34">
        <v>24200</v>
      </c>
      <c r="I100" s="52" t="s">
        <v>194</v>
      </c>
      <c r="J100" s="27">
        <f t="shared" si="6"/>
        <v>-0.59151981635271089</v>
      </c>
      <c r="K100" s="34">
        <v>20200</v>
      </c>
      <c r="L100" s="52" t="s">
        <v>194</v>
      </c>
      <c r="M100" s="35">
        <f t="shared" si="7"/>
        <v>-0.16528925619834711</v>
      </c>
      <c r="N100" s="29">
        <v>20200</v>
      </c>
      <c r="O100" s="52" t="s">
        <v>194</v>
      </c>
      <c r="P100" s="35">
        <f t="shared" si="8"/>
        <v>0</v>
      </c>
      <c r="Q100" s="4"/>
      <c r="R100" s="4"/>
    </row>
    <row r="101" spans="1:18" s="19" customFormat="1" ht="24.75" customHeight="1" x14ac:dyDescent="0.2">
      <c r="A101" s="15" t="s">
        <v>173</v>
      </c>
      <c r="B101" s="3" t="s">
        <v>172</v>
      </c>
      <c r="C101" s="3" t="s">
        <v>138</v>
      </c>
      <c r="D101" s="12">
        <v>0</v>
      </c>
      <c r="E101" s="12" t="s">
        <v>194</v>
      </c>
      <c r="F101" s="12" t="s">
        <v>194</v>
      </c>
      <c r="G101" s="38" t="s">
        <v>194</v>
      </c>
      <c r="H101" s="34">
        <v>23700</v>
      </c>
      <c r="I101" s="52" t="s">
        <v>194</v>
      </c>
      <c r="J101" s="27" t="str">
        <f t="shared" si="6"/>
        <v>-</v>
      </c>
      <c r="K101" s="34">
        <v>18700</v>
      </c>
      <c r="L101" s="52" t="s">
        <v>194</v>
      </c>
      <c r="M101" s="35">
        <f t="shared" si="7"/>
        <v>-0.21097046413502107</v>
      </c>
      <c r="N101" s="29">
        <v>18700</v>
      </c>
      <c r="O101" s="52" t="s">
        <v>194</v>
      </c>
      <c r="P101" s="35">
        <f t="shared" si="8"/>
        <v>0</v>
      </c>
      <c r="Q101" s="4"/>
      <c r="R101" s="4"/>
    </row>
    <row r="102" spans="1:18" s="19" customFormat="1" ht="24.75" customHeight="1" x14ac:dyDescent="0.2">
      <c r="A102" s="23" t="s">
        <v>64</v>
      </c>
      <c r="B102" s="24" t="s">
        <v>174</v>
      </c>
      <c r="C102" s="24" t="s">
        <v>131</v>
      </c>
      <c r="D102" s="22">
        <v>106963.2</v>
      </c>
      <c r="E102" s="22">
        <f>5500+110063.2</f>
        <v>115563.2</v>
      </c>
      <c r="F102" s="22">
        <f>5500+109963.2</f>
        <v>115463.2</v>
      </c>
      <c r="G102" s="39">
        <f>5500+109963.2</f>
        <v>115463.2</v>
      </c>
      <c r="H102" s="32">
        <v>110063.2</v>
      </c>
      <c r="I102" s="56">
        <f t="shared" si="9"/>
        <v>-5500</v>
      </c>
      <c r="J102" s="26">
        <f t="shared" si="6"/>
        <v>2.8981930233949571E-2</v>
      </c>
      <c r="K102" s="32">
        <v>109963.2</v>
      </c>
      <c r="L102" s="56">
        <f t="shared" si="10"/>
        <v>-5500</v>
      </c>
      <c r="M102" s="33">
        <f t="shared" si="7"/>
        <v>-9.0856889496215842E-4</v>
      </c>
      <c r="N102" s="28">
        <v>109963.2</v>
      </c>
      <c r="O102" s="56">
        <f t="shared" si="11"/>
        <v>-5500</v>
      </c>
      <c r="P102" s="33">
        <f t="shared" si="8"/>
        <v>0</v>
      </c>
      <c r="Q102" s="16"/>
      <c r="R102" s="16"/>
    </row>
    <row r="103" spans="1:18" s="19" customFormat="1" ht="24.75" customHeight="1" x14ac:dyDescent="0.2">
      <c r="A103" s="8" t="s">
        <v>65</v>
      </c>
      <c r="B103" s="3" t="s">
        <v>174</v>
      </c>
      <c r="C103" s="3" t="s">
        <v>133</v>
      </c>
      <c r="D103" s="12">
        <v>91400.7</v>
      </c>
      <c r="E103" s="12" t="s">
        <v>194</v>
      </c>
      <c r="F103" s="12" t="s">
        <v>194</v>
      </c>
      <c r="G103" s="38" t="s">
        <v>194</v>
      </c>
      <c r="H103" s="34">
        <v>94200.7</v>
      </c>
      <c r="I103" s="52" t="s">
        <v>194</v>
      </c>
      <c r="J103" s="27">
        <f t="shared" si="6"/>
        <v>3.0634338686684082E-2</v>
      </c>
      <c r="K103" s="34">
        <v>94200.7</v>
      </c>
      <c r="L103" s="52" t="s">
        <v>194</v>
      </c>
      <c r="M103" s="35">
        <f t="shared" si="7"/>
        <v>0</v>
      </c>
      <c r="N103" s="29">
        <v>94200.7</v>
      </c>
      <c r="O103" s="52" t="s">
        <v>194</v>
      </c>
      <c r="P103" s="35">
        <f t="shared" si="8"/>
        <v>0</v>
      </c>
      <c r="Q103" s="4"/>
      <c r="R103" s="4"/>
    </row>
    <row r="104" spans="1:18" s="19" customFormat="1" ht="24.75" customHeight="1" x14ac:dyDescent="0.2">
      <c r="A104" s="8" t="s">
        <v>66</v>
      </c>
      <c r="B104" s="3" t="s">
        <v>174</v>
      </c>
      <c r="C104" s="3" t="s">
        <v>135</v>
      </c>
      <c r="D104" s="12">
        <v>15562.5</v>
      </c>
      <c r="E104" s="12" t="s">
        <v>194</v>
      </c>
      <c r="F104" s="12" t="s">
        <v>194</v>
      </c>
      <c r="G104" s="38" t="s">
        <v>194</v>
      </c>
      <c r="H104" s="34">
        <v>15862.5</v>
      </c>
      <c r="I104" s="52" t="s">
        <v>194</v>
      </c>
      <c r="J104" s="27">
        <f t="shared" si="6"/>
        <v>1.9277108433734869E-2</v>
      </c>
      <c r="K104" s="34">
        <v>15762.5</v>
      </c>
      <c r="L104" s="52" t="s">
        <v>194</v>
      </c>
      <c r="M104" s="35">
        <f t="shared" si="7"/>
        <v>-6.3041765169424835E-3</v>
      </c>
      <c r="N104" s="29">
        <v>15762.5</v>
      </c>
      <c r="O104" s="52" t="s">
        <v>194</v>
      </c>
      <c r="P104" s="35">
        <f t="shared" si="8"/>
        <v>0</v>
      </c>
      <c r="Q104" s="4"/>
      <c r="R104" s="4"/>
    </row>
    <row r="105" spans="1:18" s="19" customFormat="1" ht="24.75" customHeight="1" x14ac:dyDescent="0.2">
      <c r="A105" s="21" t="s">
        <v>67</v>
      </c>
      <c r="B105" s="25" t="s">
        <v>175</v>
      </c>
      <c r="C105" s="25" t="s">
        <v>131</v>
      </c>
      <c r="D105" s="22">
        <v>250234.7</v>
      </c>
      <c r="E105" s="22">
        <f>27237+46322.3</f>
        <v>73559.3</v>
      </c>
      <c r="F105" s="22">
        <f>39071.6+45448.1</f>
        <v>84519.7</v>
      </c>
      <c r="G105" s="39">
        <f>40217.8+45448.1</f>
        <v>85665.9</v>
      </c>
      <c r="H105" s="36">
        <v>73559.3</v>
      </c>
      <c r="I105" s="53">
        <f t="shared" si="9"/>
        <v>0</v>
      </c>
      <c r="J105" s="26">
        <f t="shared" si="6"/>
        <v>-0.70603877080197108</v>
      </c>
      <c r="K105" s="36">
        <v>84519.7</v>
      </c>
      <c r="L105" s="53">
        <f t="shared" si="10"/>
        <v>0</v>
      </c>
      <c r="M105" s="33">
        <f t="shared" si="7"/>
        <v>0.14900087412468577</v>
      </c>
      <c r="N105" s="30">
        <v>85665.9</v>
      </c>
      <c r="O105" s="53">
        <f t="shared" si="11"/>
        <v>0</v>
      </c>
      <c r="P105" s="33">
        <f t="shared" si="8"/>
        <v>1.3561335404645325E-2</v>
      </c>
      <c r="Q105" s="4"/>
      <c r="R105" s="4"/>
    </row>
    <row r="106" spans="1:18" s="19" customFormat="1" ht="24.75" customHeight="1" x14ac:dyDescent="0.2">
      <c r="A106" s="15" t="s">
        <v>68</v>
      </c>
      <c r="B106" s="18" t="s">
        <v>175</v>
      </c>
      <c r="C106" s="18" t="s">
        <v>133</v>
      </c>
      <c r="D106" s="12">
        <v>233447.9</v>
      </c>
      <c r="E106" s="12" t="s">
        <v>194</v>
      </c>
      <c r="F106" s="12" t="s">
        <v>194</v>
      </c>
      <c r="G106" s="38" t="s">
        <v>194</v>
      </c>
      <c r="H106" s="37">
        <v>55734.5</v>
      </c>
      <c r="I106" s="54" t="s">
        <v>194</v>
      </c>
      <c r="J106" s="27">
        <f t="shared" si="6"/>
        <v>-0.7612550808981362</v>
      </c>
      <c r="K106" s="37">
        <v>66695.100000000006</v>
      </c>
      <c r="L106" s="54" t="s">
        <v>194</v>
      </c>
      <c r="M106" s="35">
        <f t="shared" si="7"/>
        <v>0.19665736662211031</v>
      </c>
      <c r="N106" s="31">
        <v>67841.899999999994</v>
      </c>
      <c r="O106" s="54" t="s">
        <v>194</v>
      </c>
      <c r="P106" s="35">
        <f t="shared" si="8"/>
        <v>1.7194666474748432E-2</v>
      </c>
      <c r="Q106" s="16"/>
      <c r="R106" s="16"/>
    </row>
    <row r="107" spans="1:18" s="19" customFormat="1" ht="24.75" customHeight="1" x14ac:dyDescent="0.2">
      <c r="A107" s="8" t="s">
        <v>4</v>
      </c>
      <c r="B107" s="3" t="s">
        <v>175</v>
      </c>
      <c r="C107" s="3" t="s">
        <v>137</v>
      </c>
      <c r="D107" s="12">
        <v>16786.8</v>
      </c>
      <c r="E107" s="12" t="s">
        <v>194</v>
      </c>
      <c r="F107" s="12" t="s">
        <v>194</v>
      </c>
      <c r="G107" s="38" t="s">
        <v>194</v>
      </c>
      <c r="H107" s="34">
        <v>17824.8</v>
      </c>
      <c r="I107" s="52" t="s">
        <v>194</v>
      </c>
      <c r="J107" s="27">
        <f t="shared" si="6"/>
        <v>6.1834298377296371E-2</v>
      </c>
      <c r="K107" s="34">
        <v>17824.599999999999</v>
      </c>
      <c r="L107" s="52" t="s">
        <v>194</v>
      </c>
      <c r="M107" s="35">
        <f t="shared" si="7"/>
        <v>-1.122032224765146E-5</v>
      </c>
      <c r="N107" s="29">
        <v>17824</v>
      </c>
      <c r="O107" s="52" t="s">
        <v>194</v>
      </c>
      <c r="P107" s="35">
        <f t="shared" si="8"/>
        <v>-3.3661344434054996E-5</v>
      </c>
      <c r="Q107" s="4"/>
      <c r="R107" s="4"/>
    </row>
    <row r="108" spans="1:18" s="19" customFormat="1" ht="24.75" customHeight="1" x14ac:dyDescent="0.2">
      <c r="A108" s="21" t="s">
        <v>69</v>
      </c>
      <c r="B108" s="25" t="s">
        <v>176</v>
      </c>
      <c r="C108" s="25" t="s">
        <v>131</v>
      </c>
      <c r="D108" s="22">
        <v>2841101.9</v>
      </c>
      <c r="E108" s="22">
        <v>2936161.5</v>
      </c>
      <c r="F108" s="22">
        <v>3151206.1</v>
      </c>
      <c r="G108" s="39">
        <v>2997173.8</v>
      </c>
      <c r="H108" s="36">
        <v>2936161.5</v>
      </c>
      <c r="I108" s="53">
        <f t="shared" si="9"/>
        <v>0</v>
      </c>
      <c r="J108" s="26">
        <f t="shared" si="6"/>
        <v>3.3458708397611447E-2</v>
      </c>
      <c r="K108" s="36">
        <v>3151206.1</v>
      </c>
      <c r="L108" s="53">
        <f t="shared" si="10"/>
        <v>0</v>
      </c>
      <c r="M108" s="33">
        <f t="shared" si="7"/>
        <v>7.3240044868104093E-2</v>
      </c>
      <c r="N108" s="30">
        <v>2997173.8</v>
      </c>
      <c r="O108" s="53">
        <f t="shared" si="11"/>
        <v>0</v>
      </c>
      <c r="P108" s="33">
        <f t="shared" si="8"/>
        <v>-4.8880427084728062E-2</v>
      </c>
      <c r="Q108" s="4"/>
      <c r="R108" s="4"/>
    </row>
    <row r="109" spans="1:18" s="19" customFormat="1" ht="24.75" customHeight="1" x14ac:dyDescent="0.2">
      <c r="A109" s="15" t="s">
        <v>70</v>
      </c>
      <c r="B109" s="18" t="s">
        <v>176</v>
      </c>
      <c r="C109" s="18" t="s">
        <v>133</v>
      </c>
      <c r="D109" s="12">
        <v>63018.5</v>
      </c>
      <c r="E109" s="12" t="s">
        <v>194</v>
      </c>
      <c r="F109" s="12" t="s">
        <v>194</v>
      </c>
      <c r="G109" s="38" t="s">
        <v>194</v>
      </c>
      <c r="H109" s="37">
        <v>74972.3</v>
      </c>
      <c r="I109" s="54" t="s">
        <v>194</v>
      </c>
      <c r="J109" s="27">
        <f t="shared" si="6"/>
        <v>0.1896871553591406</v>
      </c>
      <c r="K109" s="37">
        <v>74972.3</v>
      </c>
      <c r="L109" s="54" t="s">
        <v>194</v>
      </c>
      <c r="M109" s="35">
        <f t="shared" si="7"/>
        <v>0</v>
      </c>
      <c r="N109" s="31">
        <v>74972.3</v>
      </c>
      <c r="O109" s="54" t="s">
        <v>194</v>
      </c>
      <c r="P109" s="35">
        <f t="shared" si="8"/>
        <v>0</v>
      </c>
      <c r="Q109" s="16"/>
      <c r="R109" s="16"/>
    </row>
    <row r="110" spans="1:18" s="19" customFormat="1" ht="24.75" customHeight="1" x14ac:dyDescent="0.2">
      <c r="A110" s="8" t="s">
        <v>71</v>
      </c>
      <c r="B110" s="3" t="s">
        <v>176</v>
      </c>
      <c r="C110" s="3" t="s">
        <v>135</v>
      </c>
      <c r="D110" s="12">
        <v>1767366.5</v>
      </c>
      <c r="E110" s="12" t="s">
        <v>194</v>
      </c>
      <c r="F110" s="12" t="s">
        <v>194</v>
      </c>
      <c r="G110" s="38" t="s">
        <v>194</v>
      </c>
      <c r="H110" s="34">
        <v>1866756.9</v>
      </c>
      <c r="I110" s="52" t="s">
        <v>194</v>
      </c>
      <c r="J110" s="27">
        <f t="shared" si="6"/>
        <v>5.6236439923468051E-2</v>
      </c>
      <c r="K110" s="34">
        <v>1922962.2</v>
      </c>
      <c r="L110" s="52" t="s">
        <v>194</v>
      </c>
      <c r="M110" s="35">
        <f t="shared" si="7"/>
        <v>3.0108526718181761E-2</v>
      </c>
      <c r="N110" s="29">
        <v>1886974.9</v>
      </c>
      <c r="O110" s="52" t="s">
        <v>194</v>
      </c>
      <c r="P110" s="35">
        <f t="shared" si="8"/>
        <v>-1.8714512432953745E-2</v>
      </c>
      <c r="Q110" s="4"/>
      <c r="R110" s="4"/>
    </row>
    <row r="111" spans="1:18" s="19" customFormat="1" ht="24.75" customHeight="1" x14ac:dyDescent="0.2">
      <c r="A111" s="8" t="s">
        <v>72</v>
      </c>
      <c r="B111" s="3" t="s">
        <v>176</v>
      </c>
      <c r="C111" s="3" t="s">
        <v>137</v>
      </c>
      <c r="D111" s="12">
        <v>870958.8</v>
      </c>
      <c r="E111" s="12" t="s">
        <v>194</v>
      </c>
      <c r="F111" s="12" t="s">
        <v>194</v>
      </c>
      <c r="G111" s="38" t="s">
        <v>194</v>
      </c>
      <c r="H111" s="34">
        <v>858929</v>
      </c>
      <c r="I111" s="52" t="s">
        <v>194</v>
      </c>
      <c r="J111" s="27">
        <f t="shared" si="6"/>
        <v>-1.3812134397172438E-2</v>
      </c>
      <c r="K111" s="34">
        <v>1015827.5</v>
      </c>
      <c r="L111" s="52" t="s">
        <v>194</v>
      </c>
      <c r="M111" s="35">
        <f t="shared" si="7"/>
        <v>0.1826676011637749</v>
      </c>
      <c r="N111" s="29">
        <v>895741</v>
      </c>
      <c r="O111" s="52" t="s">
        <v>194</v>
      </c>
      <c r="P111" s="35">
        <f t="shared" si="8"/>
        <v>-0.11821544504357284</v>
      </c>
      <c r="Q111" s="4"/>
      <c r="R111" s="4"/>
    </row>
    <row r="112" spans="1:18" s="19" customFormat="1" ht="24.75" customHeight="1" x14ac:dyDescent="0.2">
      <c r="A112" s="15" t="s">
        <v>20</v>
      </c>
      <c r="B112" s="18" t="s">
        <v>176</v>
      </c>
      <c r="C112" s="18" t="s">
        <v>138</v>
      </c>
      <c r="D112" s="12">
        <v>107256.3</v>
      </c>
      <c r="E112" s="12" t="s">
        <v>194</v>
      </c>
      <c r="F112" s="12" t="s">
        <v>194</v>
      </c>
      <c r="G112" s="38" t="s">
        <v>194</v>
      </c>
      <c r="H112" s="37">
        <v>135503.29999999999</v>
      </c>
      <c r="I112" s="54" t="s">
        <v>194</v>
      </c>
      <c r="J112" s="27">
        <f t="shared" si="6"/>
        <v>0.26335982128788693</v>
      </c>
      <c r="K112" s="37">
        <v>137444.1</v>
      </c>
      <c r="L112" s="54" t="s">
        <v>194</v>
      </c>
      <c r="M112" s="35">
        <f t="shared" si="7"/>
        <v>1.432289840911638E-2</v>
      </c>
      <c r="N112" s="31">
        <v>139485.6</v>
      </c>
      <c r="O112" s="54" t="s">
        <v>194</v>
      </c>
      <c r="P112" s="35">
        <f t="shared" si="8"/>
        <v>1.4853311273455905E-2</v>
      </c>
      <c r="Q112" s="16"/>
      <c r="R112" s="16"/>
    </row>
    <row r="113" spans="1:18" s="19" customFormat="1" ht="24.75" customHeight="1" x14ac:dyDescent="0.2">
      <c r="A113" s="59" t="s">
        <v>73</v>
      </c>
      <c r="B113" s="3" t="s">
        <v>176</v>
      </c>
      <c r="C113" s="3" t="s">
        <v>140</v>
      </c>
      <c r="D113" s="12">
        <v>32501.8</v>
      </c>
      <c r="E113" s="12" t="s">
        <v>194</v>
      </c>
      <c r="F113" s="12" t="s">
        <v>194</v>
      </c>
      <c r="G113" s="38" t="s">
        <v>194</v>
      </c>
      <c r="H113" s="34">
        <v>0</v>
      </c>
      <c r="I113" s="52" t="s">
        <v>194</v>
      </c>
      <c r="J113" s="27">
        <f t="shared" si="6"/>
        <v>-1</v>
      </c>
      <c r="K113" s="34">
        <v>0</v>
      </c>
      <c r="L113" s="52" t="s">
        <v>194</v>
      </c>
      <c r="M113" s="35" t="str">
        <f t="shared" si="7"/>
        <v>-</v>
      </c>
      <c r="N113" s="29">
        <v>0</v>
      </c>
      <c r="O113" s="52" t="s">
        <v>194</v>
      </c>
      <c r="P113" s="35" t="str">
        <f t="shared" si="8"/>
        <v>-</v>
      </c>
      <c r="Q113" s="4"/>
      <c r="R113" s="4"/>
    </row>
    <row r="114" spans="1:18" s="19" customFormat="1" ht="24.75" customHeight="1" x14ac:dyDescent="0.2">
      <c r="A114" s="21" t="s">
        <v>74</v>
      </c>
      <c r="B114" s="25" t="s">
        <v>177</v>
      </c>
      <c r="C114" s="25" t="s">
        <v>131</v>
      </c>
      <c r="D114" s="22">
        <v>933952.3</v>
      </c>
      <c r="E114" s="22">
        <v>1053152.8999999999</v>
      </c>
      <c r="F114" s="22">
        <v>991954.9</v>
      </c>
      <c r="G114" s="39">
        <f>6268.2+1008528.1</f>
        <v>1014796.2999999999</v>
      </c>
      <c r="H114" s="36">
        <v>1053152.8999999999</v>
      </c>
      <c r="I114" s="53">
        <f t="shared" si="9"/>
        <v>0</v>
      </c>
      <c r="J114" s="26">
        <f t="shared" si="6"/>
        <v>0.12763028690009093</v>
      </c>
      <c r="K114" s="36">
        <v>991954.9</v>
      </c>
      <c r="L114" s="53">
        <f t="shared" si="10"/>
        <v>0</v>
      </c>
      <c r="M114" s="33">
        <f t="shared" si="7"/>
        <v>-5.810932106819422E-2</v>
      </c>
      <c r="N114" s="30">
        <v>1014796.3</v>
      </c>
      <c r="O114" s="53">
        <f t="shared" si="11"/>
        <v>0</v>
      </c>
      <c r="P114" s="33">
        <f t="shared" si="8"/>
        <v>2.3026651715718049E-2</v>
      </c>
      <c r="Q114" s="4"/>
      <c r="R114" s="4"/>
    </row>
    <row r="115" spans="1:18" s="19" customFormat="1" ht="24.75" customHeight="1" x14ac:dyDescent="0.2">
      <c r="A115" s="8" t="s">
        <v>75</v>
      </c>
      <c r="B115" s="3" t="s">
        <v>177</v>
      </c>
      <c r="C115" s="3" t="s">
        <v>133</v>
      </c>
      <c r="D115" s="12">
        <v>575730.30000000005</v>
      </c>
      <c r="E115" s="12" t="s">
        <v>194</v>
      </c>
      <c r="F115" s="12" t="s">
        <v>194</v>
      </c>
      <c r="G115" s="38" t="s">
        <v>194</v>
      </c>
      <c r="H115" s="34">
        <v>670246.19999999995</v>
      </c>
      <c r="I115" s="52" t="s">
        <v>194</v>
      </c>
      <c r="J115" s="27">
        <f t="shared" si="6"/>
        <v>0.16416697193112806</v>
      </c>
      <c r="K115" s="34">
        <v>601166.80000000005</v>
      </c>
      <c r="L115" s="52" t="s">
        <v>194</v>
      </c>
      <c r="M115" s="35">
        <f t="shared" si="7"/>
        <v>-0.10306570928712455</v>
      </c>
      <c r="N115" s="29">
        <v>610276</v>
      </c>
      <c r="O115" s="52" t="s">
        <v>194</v>
      </c>
      <c r="P115" s="35">
        <f t="shared" si="8"/>
        <v>1.515253337343303E-2</v>
      </c>
      <c r="Q115" s="4"/>
      <c r="R115" s="4"/>
    </row>
    <row r="116" spans="1:18" s="19" customFormat="1" ht="24.75" customHeight="1" x14ac:dyDescent="0.2">
      <c r="A116" s="8" t="s">
        <v>76</v>
      </c>
      <c r="B116" s="3" t="s">
        <v>177</v>
      </c>
      <c r="C116" s="3" t="s">
        <v>135</v>
      </c>
      <c r="D116" s="12">
        <v>329035.59999999998</v>
      </c>
      <c r="E116" s="12" t="s">
        <v>194</v>
      </c>
      <c r="F116" s="12" t="s">
        <v>194</v>
      </c>
      <c r="G116" s="38" t="s">
        <v>194</v>
      </c>
      <c r="H116" s="34">
        <v>364220.1</v>
      </c>
      <c r="I116" s="52" t="s">
        <v>194</v>
      </c>
      <c r="J116" s="27">
        <f t="shared" si="6"/>
        <v>0.1069321982180651</v>
      </c>
      <c r="K116" s="34">
        <v>372102.7</v>
      </c>
      <c r="L116" s="52" t="s">
        <v>194</v>
      </c>
      <c r="M116" s="35">
        <f t="shared" si="7"/>
        <v>2.1642407983524237E-2</v>
      </c>
      <c r="N116" s="29">
        <v>385835</v>
      </c>
      <c r="O116" s="52" t="s">
        <v>194</v>
      </c>
      <c r="P116" s="35">
        <f t="shared" si="8"/>
        <v>3.690459649983735E-2</v>
      </c>
      <c r="Q116" s="4"/>
      <c r="R116" s="4"/>
    </row>
    <row r="117" spans="1:18" s="19" customFormat="1" ht="24.75" customHeight="1" x14ac:dyDescent="0.2">
      <c r="A117" s="49" t="s">
        <v>4</v>
      </c>
      <c r="B117" s="3" t="s">
        <v>177</v>
      </c>
      <c r="C117" s="3" t="s">
        <v>137</v>
      </c>
      <c r="D117" s="12">
        <v>29186.400000000001</v>
      </c>
      <c r="E117" s="12" t="s">
        <v>194</v>
      </c>
      <c r="F117" s="12" t="s">
        <v>194</v>
      </c>
      <c r="G117" s="38" t="s">
        <v>194</v>
      </c>
      <c r="H117" s="34">
        <v>18686.599999999999</v>
      </c>
      <c r="I117" s="52" t="s">
        <v>194</v>
      </c>
      <c r="J117" s="27">
        <f t="shared" si="6"/>
        <v>-0.3597497464572541</v>
      </c>
      <c r="K117" s="34">
        <v>18685.400000000001</v>
      </c>
      <c r="L117" s="52" t="s">
        <v>194</v>
      </c>
      <c r="M117" s="35">
        <f t="shared" si="7"/>
        <v>-6.4217139554401115E-5</v>
      </c>
      <c r="N117" s="29">
        <v>18685.3</v>
      </c>
      <c r="O117" s="52" t="s">
        <v>194</v>
      </c>
      <c r="P117" s="35">
        <f t="shared" si="8"/>
        <v>-5.3517719718065848E-6</v>
      </c>
      <c r="Q117" s="4"/>
      <c r="R117" s="4"/>
    </row>
    <row r="118" spans="1:18" s="19" customFormat="1" ht="24.75" customHeight="1" x14ac:dyDescent="0.2">
      <c r="A118" s="23" t="s">
        <v>77</v>
      </c>
      <c r="B118" s="24" t="s">
        <v>178</v>
      </c>
      <c r="C118" s="24" t="s">
        <v>131</v>
      </c>
      <c r="D118" s="22">
        <v>35106</v>
      </c>
      <c r="E118" s="22">
        <f>1828.5+41778.8</f>
        <v>43607.3</v>
      </c>
      <c r="F118" s="22">
        <v>17369.7</v>
      </c>
      <c r="G118" s="39">
        <v>17485.099999999999</v>
      </c>
      <c r="H118" s="32">
        <v>43607.3</v>
      </c>
      <c r="I118" s="57">
        <f t="shared" si="9"/>
        <v>0</v>
      </c>
      <c r="J118" s="26">
        <f t="shared" si="6"/>
        <v>0.24216088417934256</v>
      </c>
      <c r="K118" s="32">
        <v>17369.7</v>
      </c>
      <c r="L118" s="57">
        <f t="shared" si="10"/>
        <v>0</v>
      </c>
      <c r="M118" s="33">
        <f t="shared" si="7"/>
        <v>-0.60167907666835596</v>
      </c>
      <c r="N118" s="28">
        <v>17485.099999999999</v>
      </c>
      <c r="O118" s="57">
        <f t="shared" si="11"/>
        <v>0</v>
      </c>
      <c r="P118" s="33">
        <f t="shared" si="8"/>
        <v>6.6437532024155033E-3</v>
      </c>
      <c r="Q118" s="16"/>
      <c r="R118" s="16"/>
    </row>
    <row r="119" spans="1:18" s="19" customFormat="1" ht="24.75" customHeight="1" x14ac:dyDescent="0.2">
      <c r="A119" s="8" t="s">
        <v>78</v>
      </c>
      <c r="B119" s="3" t="s">
        <v>178</v>
      </c>
      <c r="C119" s="3" t="s">
        <v>133</v>
      </c>
      <c r="D119" s="12">
        <v>8589</v>
      </c>
      <c r="E119" s="12" t="s">
        <v>194</v>
      </c>
      <c r="F119" s="12" t="s">
        <v>194</v>
      </c>
      <c r="G119" s="38" t="s">
        <v>194</v>
      </c>
      <c r="H119" s="34">
        <v>8499.9</v>
      </c>
      <c r="I119" s="52" t="s">
        <v>194</v>
      </c>
      <c r="J119" s="27">
        <f t="shared" si="6"/>
        <v>-1.0373733845616573E-2</v>
      </c>
      <c r="K119" s="34">
        <v>6569.7</v>
      </c>
      <c r="L119" s="52" t="s">
        <v>194</v>
      </c>
      <c r="M119" s="35">
        <f t="shared" si="7"/>
        <v>-0.22708502452970036</v>
      </c>
      <c r="N119" s="29">
        <v>6685.1</v>
      </c>
      <c r="O119" s="52" t="s">
        <v>194</v>
      </c>
      <c r="P119" s="35">
        <f t="shared" si="8"/>
        <v>1.7565490052818378E-2</v>
      </c>
      <c r="Q119" s="4"/>
      <c r="R119" s="4"/>
    </row>
    <row r="120" spans="1:18" s="19" customFormat="1" ht="24.75" customHeight="1" x14ac:dyDescent="0.2">
      <c r="A120" s="8" t="s">
        <v>79</v>
      </c>
      <c r="B120" s="3" t="s">
        <v>178</v>
      </c>
      <c r="C120" s="3" t="s">
        <v>135</v>
      </c>
      <c r="D120" s="12">
        <v>26517</v>
      </c>
      <c r="E120" s="12" t="s">
        <v>194</v>
      </c>
      <c r="F120" s="12" t="s">
        <v>194</v>
      </c>
      <c r="G120" s="38" t="s">
        <v>194</v>
      </c>
      <c r="H120" s="34">
        <v>35107.4</v>
      </c>
      <c r="I120" s="52" t="s">
        <v>194</v>
      </c>
      <c r="J120" s="27">
        <f t="shared" si="6"/>
        <v>0.32395821548440629</v>
      </c>
      <c r="K120" s="34">
        <v>10800</v>
      </c>
      <c r="L120" s="52" t="s">
        <v>194</v>
      </c>
      <c r="M120" s="35">
        <f t="shared" si="7"/>
        <v>-0.69237254823769345</v>
      </c>
      <c r="N120" s="29">
        <v>10800</v>
      </c>
      <c r="O120" s="52" t="s">
        <v>194</v>
      </c>
      <c r="P120" s="35">
        <f t="shared" si="8"/>
        <v>0</v>
      </c>
      <c r="Q120" s="4"/>
      <c r="R120" s="4"/>
    </row>
    <row r="121" spans="1:18" s="19" customFormat="1" ht="24.75" customHeight="1" x14ac:dyDescent="0.2">
      <c r="A121" s="21" t="s">
        <v>80</v>
      </c>
      <c r="B121" s="25" t="s">
        <v>179</v>
      </c>
      <c r="C121" s="25" t="s">
        <v>131</v>
      </c>
      <c r="D121" s="22">
        <v>607542.4</v>
      </c>
      <c r="E121" s="22">
        <v>525160.4</v>
      </c>
      <c r="F121" s="22">
        <v>541033.1</v>
      </c>
      <c r="G121" s="39">
        <v>533053.6</v>
      </c>
      <c r="H121" s="36">
        <v>525160.4</v>
      </c>
      <c r="I121" s="53">
        <f t="shared" si="9"/>
        <v>0</v>
      </c>
      <c r="J121" s="26">
        <f t="shared" si="6"/>
        <v>-0.13559876644000479</v>
      </c>
      <c r="K121" s="36">
        <v>541033.1</v>
      </c>
      <c r="L121" s="53">
        <f t="shared" si="10"/>
        <v>0</v>
      </c>
      <c r="M121" s="33">
        <f t="shared" si="7"/>
        <v>3.0224479987447594E-2</v>
      </c>
      <c r="N121" s="30">
        <v>533053.6</v>
      </c>
      <c r="O121" s="53">
        <f t="shared" si="11"/>
        <v>0</v>
      </c>
      <c r="P121" s="33">
        <f t="shared" si="8"/>
        <v>-1.474863552710548E-2</v>
      </c>
      <c r="Q121" s="4"/>
      <c r="R121" s="4"/>
    </row>
    <row r="122" spans="1:18" s="19" customFormat="1" ht="24.75" customHeight="1" x14ac:dyDescent="0.2">
      <c r="A122" s="15" t="s">
        <v>81</v>
      </c>
      <c r="B122" s="18" t="s">
        <v>179</v>
      </c>
      <c r="C122" s="18" t="s">
        <v>133</v>
      </c>
      <c r="D122" s="12">
        <v>65000</v>
      </c>
      <c r="E122" s="12" t="s">
        <v>194</v>
      </c>
      <c r="F122" s="12" t="s">
        <v>194</v>
      </c>
      <c r="G122" s="38" t="s">
        <v>194</v>
      </c>
      <c r="H122" s="37">
        <v>7900</v>
      </c>
      <c r="I122" s="54" t="s">
        <v>194</v>
      </c>
      <c r="J122" s="27">
        <f t="shared" si="6"/>
        <v>-0.8784615384615384</v>
      </c>
      <c r="K122" s="37">
        <v>5000</v>
      </c>
      <c r="L122" s="54" t="s">
        <v>194</v>
      </c>
      <c r="M122" s="35">
        <f t="shared" si="7"/>
        <v>-0.36708860759493667</v>
      </c>
      <c r="N122" s="31">
        <v>5000</v>
      </c>
      <c r="O122" s="54" t="s">
        <v>194</v>
      </c>
      <c r="P122" s="35">
        <f t="shared" si="8"/>
        <v>0</v>
      </c>
      <c r="Q122" s="16"/>
      <c r="R122" s="16"/>
    </row>
    <row r="123" spans="1:18" s="19" customFormat="1" ht="24.75" customHeight="1" x14ac:dyDescent="0.2">
      <c r="A123" s="8" t="s">
        <v>82</v>
      </c>
      <c r="B123" s="3" t="s">
        <v>179</v>
      </c>
      <c r="C123" s="3" t="s">
        <v>135</v>
      </c>
      <c r="D123" s="12">
        <v>88528.7</v>
      </c>
      <c r="E123" s="12" t="s">
        <v>194</v>
      </c>
      <c r="F123" s="12" t="s">
        <v>194</v>
      </c>
      <c r="G123" s="38" t="s">
        <v>194</v>
      </c>
      <c r="H123" s="34">
        <v>97700</v>
      </c>
      <c r="I123" s="52" t="s">
        <v>194</v>
      </c>
      <c r="J123" s="27">
        <f t="shared" si="6"/>
        <v>0.10359691263962989</v>
      </c>
      <c r="K123" s="34">
        <v>104100</v>
      </c>
      <c r="L123" s="52" t="s">
        <v>194</v>
      </c>
      <c r="M123" s="35">
        <f t="shared" si="7"/>
        <v>6.5506653019447247E-2</v>
      </c>
      <c r="N123" s="29">
        <v>83700</v>
      </c>
      <c r="O123" s="52" t="s">
        <v>194</v>
      </c>
      <c r="P123" s="35">
        <f t="shared" si="8"/>
        <v>-0.19596541786743515</v>
      </c>
      <c r="Q123" s="4"/>
      <c r="R123" s="4"/>
    </row>
    <row r="124" spans="1:18" s="19" customFormat="1" ht="24.75" customHeight="1" x14ac:dyDescent="0.2">
      <c r="A124" s="8" t="s">
        <v>83</v>
      </c>
      <c r="B124" s="3" t="s">
        <v>179</v>
      </c>
      <c r="C124" s="3" t="s">
        <v>138</v>
      </c>
      <c r="D124" s="12">
        <v>1770.3</v>
      </c>
      <c r="E124" s="12" t="s">
        <v>194</v>
      </c>
      <c r="F124" s="12" t="s">
        <v>194</v>
      </c>
      <c r="G124" s="38" t="s">
        <v>194</v>
      </c>
      <c r="H124" s="34">
        <v>1770.3</v>
      </c>
      <c r="I124" s="52" t="s">
        <v>194</v>
      </c>
      <c r="J124" s="27">
        <f t="shared" si="6"/>
        <v>0</v>
      </c>
      <c r="K124" s="34">
        <v>1770.3</v>
      </c>
      <c r="L124" s="52" t="s">
        <v>194</v>
      </c>
      <c r="M124" s="35">
        <f t="shared" si="7"/>
        <v>0</v>
      </c>
      <c r="N124" s="29">
        <v>1770.3</v>
      </c>
      <c r="O124" s="52" t="s">
        <v>194</v>
      </c>
      <c r="P124" s="35">
        <f t="shared" si="8"/>
        <v>0</v>
      </c>
      <c r="Q124" s="4"/>
      <c r="R124" s="4"/>
    </row>
    <row r="125" spans="1:18" s="19" customFormat="1" ht="24.75" customHeight="1" x14ac:dyDescent="0.2">
      <c r="A125" s="15" t="s">
        <v>84</v>
      </c>
      <c r="B125" s="18" t="s">
        <v>179</v>
      </c>
      <c r="C125" s="18" t="s">
        <v>140</v>
      </c>
      <c r="D125" s="12">
        <v>498.2</v>
      </c>
      <c r="E125" s="12" t="s">
        <v>194</v>
      </c>
      <c r="F125" s="12" t="s">
        <v>194</v>
      </c>
      <c r="G125" s="38" t="s">
        <v>194</v>
      </c>
      <c r="H125" s="37">
        <v>498.2</v>
      </c>
      <c r="I125" s="54" t="s">
        <v>194</v>
      </c>
      <c r="J125" s="27">
        <f t="shared" si="6"/>
        <v>0</v>
      </c>
      <c r="K125" s="37">
        <v>498.2</v>
      </c>
      <c r="L125" s="54" t="s">
        <v>194</v>
      </c>
      <c r="M125" s="35">
        <f t="shared" si="7"/>
        <v>0</v>
      </c>
      <c r="N125" s="31">
        <v>498.2</v>
      </c>
      <c r="O125" s="54" t="s">
        <v>194</v>
      </c>
      <c r="P125" s="35">
        <f t="shared" si="8"/>
        <v>0</v>
      </c>
      <c r="Q125" s="16"/>
      <c r="R125" s="16"/>
    </row>
    <row r="126" spans="1:18" s="19" customFormat="1" ht="24.75" customHeight="1" x14ac:dyDescent="0.2">
      <c r="A126" s="49" t="s">
        <v>20</v>
      </c>
      <c r="B126" s="3" t="s">
        <v>179</v>
      </c>
      <c r="C126" s="3" t="s">
        <v>146</v>
      </c>
      <c r="D126" s="12">
        <v>406518.7</v>
      </c>
      <c r="E126" s="12" t="s">
        <v>194</v>
      </c>
      <c r="F126" s="12" t="s">
        <v>194</v>
      </c>
      <c r="G126" s="38" t="s">
        <v>194</v>
      </c>
      <c r="H126" s="34">
        <v>410210.5</v>
      </c>
      <c r="I126" s="52" t="s">
        <v>194</v>
      </c>
      <c r="J126" s="27">
        <f t="shared" si="6"/>
        <v>9.0815010477991454E-3</v>
      </c>
      <c r="K126" s="34">
        <v>422583.2</v>
      </c>
      <c r="L126" s="52" t="s">
        <v>194</v>
      </c>
      <c r="M126" s="35">
        <f t="shared" si="7"/>
        <v>3.0161831547461659E-2</v>
      </c>
      <c r="N126" s="29">
        <v>435003.7</v>
      </c>
      <c r="O126" s="52" t="s">
        <v>194</v>
      </c>
      <c r="P126" s="35">
        <f t="shared" si="8"/>
        <v>2.9391845203500688E-2</v>
      </c>
      <c r="Q126" s="4"/>
      <c r="R126" s="4"/>
    </row>
    <row r="127" spans="1:18" s="19" customFormat="1" ht="24.75" customHeight="1" x14ac:dyDescent="0.2">
      <c r="A127" s="8" t="s">
        <v>85</v>
      </c>
      <c r="B127" s="3" t="s">
        <v>179</v>
      </c>
      <c r="C127" s="3" t="s">
        <v>141</v>
      </c>
      <c r="D127" s="12">
        <v>45226.5</v>
      </c>
      <c r="E127" s="12" t="s">
        <v>194</v>
      </c>
      <c r="F127" s="12" t="s">
        <v>194</v>
      </c>
      <c r="G127" s="38" t="s">
        <v>194</v>
      </c>
      <c r="H127" s="34">
        <v>7081.4</v>
      </c>
      <c r="I127" s="52" t="s">
        <v>194</v>
      </c>
      <c r="J127" s="27">
        <f t="shared" si="6"/>
        <v>-0.84342365648458317</v>
      </c>
      <c r="K127" s="34">
        <v>7081.4</v>
      </c>
      <c r="L127" s="52" t="s">
        <v>194</v>
      </c>
      <c r="M127" s="35">
        <f t="shared" si="7"/>
        <v>0</v>
      </c>
      <c r="N127" s="29">
        <v>7081.4</v>
      </c>
      <c r="O127" s="52" t="s">
        <v>194</v>
      </c>
      <c r="P127" s="35">
        <f t="shared" si="8"/>
        <v>0</v>
      </c>
      <c r="Q127" s="4"/>
      <c r="R127" s="4"/>
    </row>
    <row r="128" spans="1:18" s="19" customFormat="1" ht="24.75" customHeight="1" x14ac:dyDescent="0.2">
      <c r="A128" s="21" t="s">
        <v>86</v>
      </c>
      <c r="B128" s="25" t="s">
        <v>180</v>
      </c>
      <c r="C128" s="25" t="s">
        <v>131</v>
      </c>
      <c r="D128" s="22">
        <v>225828.1</v>
      </c>
      <c r="E128" s="22">
        <v>246447</v>
      </c>
      <c r="F128" s="22">
        <v>242983.3</v>
      </c>
      <c r="G128" s="39">
        <v>239839.8</v>
      </c>
      <c r="H128" s="36">
        <v>246447</v>
      </c>
      <c r="I128" s="53">
        <f t="shared" si="9"/>
        <v>0</v>
      </c>
      <c r="J128" s="26">
        <f t="shared" si="6"/>
        <v>9.130351802986425E-2</v>
      </c>
      <c r="K128" s="36">
        <v>242983.3</v>
      </c>
      <c r="L128" s="53">
        <f t="shared" si="10"/>
        <v>0</v>
      </c>
      <c r="M128" s="33">
        <f t="shared" si="7"/>
        <v>-1.4054543167496547E-2</v>
      </c>
      <c r="N128" s="30">
        <v>239839.8</v>
      </c>
      <c r="O128" s="53">
        <f t="shared" si="11"/>
        <v>0</v>
      </c>
      <c r="P128" s="33">
        <f t="shared" si="8"/>
        <v>-1.2937103084862178E-2</v>
      </c>
      <c r="Q128" s="4"/>
      <c r="R128" s="4"/>
    </row>
    <row r="129" spans="1:18" s="19" customFormat="1" ht="24.75" customHeight="1" x14ac:dyDescent="0.2">
      <c r="A129" s="8" t="s">
        <v>87</v>
      </c>
      <c r="B129" s="3" t="s">
        <v>180</v>
      </c>
      <c r="C129" s="3" t="s">
        <v>133</v>
      </c>
      <c r="D129" s="12">
        <v>6306.3</v>
      </c>
      <c r="E129" s="12" t="s">
        <v>194</v>
      </c>
      <c r="F129" s="12" t="s">
        <v>194</v>
      </c>
      <c r="G129" s="38" t="s">
        <v>194</v>
      </c>
      <c r="H129" s="34">
        <v>8481.2000000000007</v>
      </c>
      <c r="I129" s="52" t="s">
        <v>194</v>
      </c>
      <c r="J129" s="27">
        <f t="shared" si="6"/>
        <v>0.344877344877345</v>
      </c>
      <c r="K129" s="34">
        <v>11187.9</v>
      </c>
      <c r="L129" s="52" t="s">
        <v>194</v>
      </c>
      <c r="M129" s="35">
        <f t="shared" si="7"/>
        <v>0.31914115926991449</v>
      </c>
      <c r="N129" s="29">
        <v>11187.9</v>
      </c>
      <c r="O129" s="52" t="s">
        <v>194</v>
      </c>
      <c r="P129" s="35">
        <f t="shared" si="8"/>
        <v>0</v>
      </c>
      <c r="Q129" s="4"/>
      <c r="R129" s="4"/>
    </row>
    <row r="130" spans="1:18" s="19" customFormat="1" ht="24.75" customHeight="1" x14ac:dyDescent="0.2">
      <c r="A130" s="8" t="s">
        <v>88</v>
      </c>
      <c r="B130" s="3" t="s">
        <v>180</v>
      </c>
      <c r="C130" s="3" t="s">
        <v>135</v>
      </c>
      <c r="D130" s="12">
        <v>16310.5</v>
      </c>
      <c r="E130" s="12" t="s">
        <v>194</v>
      </c>
      <c r="F130" s="12" t="s">
        <v>194</v>
      </c>
      <c r="G130" s="38" t="s">
        <v>194</v>
      </c>
      <c r="H130" s="34">
        <v>22415.200000000001</v>
      </c>
      <c r="I130" s="52" t="s">
        <v>194</v>
      </c>
      <c r="J130" s="27">
        <f t="shared" si="6"/>
        <v>0.37428037153980576</v>
      </c>
      <c r="K130" s="34">
        <v>16753.7</v>
      </c>
      <c r="L130" s="52" t="s">
        <v>194</v>
      </c>
      <c r="M130" s="35">
        <f t="shared" si="7"/>
        <v>-0.25257414611513618</v>
      </c>
      <c r="N130" s="29">
        <v>9415.2000000000007</v>
      </c>
      <c r="O130" s="52" t="s">
        <v>194</v>
      </c>
      <c r="P130" s="35">
        <f t="shared" si="8"/>
        <v>-0.43802264574392524</v>
      </c>
      <c r="Q130" s="4"/>
      <c r="R130" s="4"/>
    </row>
    <row r="131" spans="1:18" s="19" customFormat="1" ht="24.75" customHeight="1" x14ac:dyDescent="0.2">
      <c r="A131" s="8" t="s">
        <v>20</v>
      </c>
      <c r="B131" s="3" t="s">
        <v>180</v>
      </c>
      <c r="C131" s="3" t="s">
        <v>137</v>
      </c>
      <c r="D131" s="12">
        <v>203211.3</v>
      </c>
      <c r="E131" s="12" t="s">
        <v>194</v>
      </c>
      <c r="F131" s="12" t="s">
        <v>194</v>
      </c>
      <c r="G131" s="38" t="s">
        <v>194</v>
      </c>
      <c r="H131" s="34">
        <v>215550.6</v>
      </c>
      <c r="I131" s="52" t="s">
        <v>194</v>
      </c>
      <c r="J131" s="27">
        <f t="shared" si="6"/>
        <v>6.0721524836463425E-2</v>
      </c>
      <c r="K131" s="34">
        <v>215041.7</v>
      </c>
      <c r="L131" s="52" t="s">
        <v>194</v>
      </c>
      <c r="M131" s="35">
        <f t="shared" si="7"/>
        <v>-2.3609305657232849E-3</v>
      </c>
      <c r="N131" s="29">
        <v>219236.7</v>
      </c>
      <c r="O131" s="52" t="s">
        <v>194</v>
      </c>
      <c r="P131" s="35">
        <f t="shared" si="8"/>
        <v>1.9507844292525611E-2</v>
      </c>
      <c r="Q131" s="4"/>
      <c r="R131" s="4"/>
    </row>
    <row r="132" spans="1:18" s="19" customFormat="1" ht="24.75" customHeight="1" x14ac:dyDescent="0.2">
      <c r="A132" s="23" t="s">
        <v>89</v>
      </c>
      <c r="B132" s="24" t="s">
        <v>181</v>
      </c>
      <c r="C132" s="24" t="s">
        <v>131</v>
      </c>
      <c r="D132" s="22">
        <v>180330.3</v>
      </c>
      <c r="E132" s="22">
        <v>189238</v>
      </c>
      <c r="F132" s="22">
        <v>189227.9</v>
      </c>
      <c r="G132" s="39">
        <v>193432.1</v>
      </c>
      <c r="H132" s="32">
        <v>189238</v>
      </c>
      <c r="I132" s="57">
        <f t="shared" si="9"/>
        <v>0</v>
      </c>
      <c r="J132" s="26">
        <f t="shared" si="6"/>
        <v>4.9396579498842019E-2</v>
      </c>
      <c r="K132" s="32">
        <v>189227.9</v>
      </c>
      <c r="L132" s="57">
        <f t="shared" si="10"/>
        <v>0</v>
      </c>
      <c r="M132" s="33">
        <f t="shared" si="7"/>
        <v>-5.337194432408765E-5</v>
      </c>
      <c r="N132" s="28">
        <v>193432.1</v>
      </c>
      <c r="O132" s="57">
        <f t="shared" si="11"/>
        <v>0</v>
      </c>
      <c r="P132" s="33">
        <f t="shared" si="8"/>
        <v>2.2217653950606708E-2</v>
      </c>
      <c r="Q132" s="16"/>
      <c r="R132" s="16"/>
    </row>
    <row r="133" spans="1:18" s="19" customFormat="1" ht="24.75" customHeight="1" x14ac:dyDescent="0.2">
      <c r="A133" s="8" t="s">
        <v>90</v>
      </c>
      <c r="B133" s="3" t="s">
        <v>181</v>
      </c>
      <c r="C133" s="3" t="s">
        <v>133</v>
      </c>
      <c r="D133" s="12">
        <v>29704</v>
      </c>
      <c r="E133" s="12" t="s">
        <v>194</v>
      </c>
      <c r="F133" s="12" t="s">
        <v>194</v>
      </c>
      <c r="G133" s="38" t="s">
        <v>194</v>
      </c>
      <c r="H133" s="34">
        <v>37064</v>
      </c>
      <c r="I133" s="52" t="s">
        <v>194</v>
      </c>
      <c r="J133" s="27">
        <f t="shared" si="6"/>
        <v>0.2477780770266631</v>
      </c>
      <c r="K133" s="34">
        <v>32104</v>
      </c>
      <c r="L133" s="52" t="s">
        <v>194</v>
      </c>
      <c r="M133" s="35">
        <f t="shared" si="7"/>
        <v>-0.13382257716382473</v>
      </c>
      <c r="N133" s="29">
        <v>32104</v>
      </c>
      <c r="O133" s="52" t="s">
        <v>194</v>
      </c>
      <c r="P133" s="35">
        <f t="shared" si="8"/>
        <v>0</v>
      </c>
      <c r="Q133" s="4"/>
      <c r="R133" s="4"/>
    </row>
    <row r="134" spans="1:18" s="19" customFormat="1" ht="24.75" customHeight="1" x14ac:dyDescent="0.2">
      <c r="A134" s="8" t="s">
        <v>91</v>
      </c>
      <c r="B134" s="3" t="s">
        <v>181</v>
      </c>
      <c r="C134" s="3" t="s">
        <v>135</v>
      </c>
      <c r="D134" s="12">
        <v>142352.9</v>
      </c>
      <c r="E134" s="12" t="s">
        <v>194</v>
      </c>
      <c r="F134" s="12" t="s">
        <v>194</v>
      </c>
      <c r="G134" s="38" t="s">
        <v>194</v>
      </c>
      <c r="H134" s="34">
        <v>68044</v>
      </c>
      <c r="I134" s="52" t="s">
        <v>194</v>
      </c>
      <c r="J134" s="27">
        <f t="shared" si="6"/>
        <v>-0.52200482041461749</v>
      </c>
      <c r="K134" s="34">
        <v>70757.8</v>
      </c>
      <c r="L134" s="52" t="s">
        <v>194</v>
      </c>
      <c r="M134" s="35">
        <f t="shared" si="7"/>
        <v>3.9883016871436139E-2</v>
      </c>
      <c r="N134" s="29">
        <v>73471.5</v>
      </c>
      <c r="O134" s="52" t="s">
        <v>194</v>
      </c>
      <c r="P134" s="35">
        <f t="shared" si="8"/>
        <v>3.8351955544123628E-2</v>
      </c>
      <c r="Q134" s="4"/>
      <c r="R134" s="4"/>
    </row>
    <row r="135" spans="1:18" s="19" customFormat="1" ht="24.75" customHeight="1" x14ac:dyDescent="0.2">
      <c r="A135" s="8" t="s">
        <v>92</v>
      </c>
      <c r="B135" s="3" t="s">
        <v>181</v>
      </c>
      <c r="C135" s="3" t="s">
        <v>137</v>
      </c>
      <c r="D135" s="12">
        <v>200</v>
      </c>
      <c r="E135" s="12" t="s">
        <v>194</v>
      </c>
      <c r="F135" s="12" t="s">
        <v>194</v>
      </c>
      <c r="G135" s="38" t="s">
        <v>194</v>
      </c>
      <c r="H135" s="34">
        <v>76056.3</v>
      </c>
      <c r="I135" s="52" t="s">
        <v>194</v>
      </c>
      <c r="J135" s="27">
        <f t="shared" ref="J135:J157" si="12">IF(D135=0,"-",H135/D135-1)</f>
        <v>379.28149999999999</v>
      </c>
      <c r="K135" s="34">
        <v>78292.399999999994</v>
      </c>
      <c r="L135" s="52" t="s">
        <v>194</v>
      </c>
      <c r="M135" s="35">
        <f t="shared" ref="M135:M155" si="13">IF(H135=0,"-",K135/H135-1)</f>
        <v>2.9400588774368241E-2</v>
      </c>
      <c r="N135" s="29">
        <v>79782.899999999994</v>
      </c>
      <c r="O135" s="52" t="s">
        <v>194</v>
      </c>
      <c r="P135" s="35">
        <f t="shared" ref="P135:P155" si="14">IF(K135=0,"-",N135/K135-1)</f>
        <v>1.9037607737149465E-2</v>
      </c>
      <c r="Q135" s="4"/>
      <c r="R135" s="4"/>
    </row>
    <row r="136" spans="1:18" s="19" customFormat="1" ht="24.75" customHeight="1" x14ac:dyDescent="0.2">
      <c r="A136" s="15" t="s">
        <v>20</v>
      </c>
      <c r="B136" s="18" t="s">
        <v>181</v>
      </c>
      <c r="C136" s="18" t="s">
        <v>138</v>
      </c>
      <c r="D136" s="12">
        <v>8073.4</v>
      </c>
      <c r="E136" s="12" t="s">
        <v>194</v>
      </c>
      <c r="F136" s="12" t="s">
        <v>194</v>
      </c>
      <c r="G136" s="38" t="s">
        <v>194</v>
      </c>
      <c r="H136" s="37">
        <v>8073.7</v>
      </c>
      <c r="I136" s="54" t="s">
        <v>194</v>
      </c>
      <c r="J136" s="27">
        <f t="shared" si="12"/>
        <v>3.7159065573444394E-5</v>
      </c>
      <c r="K136" s="37">
        <v>8073.7</v>
      </c>
      <c r="L136" s="54" t="s">
        <v>194</v>
      </c>
      <c r="M136" s="35">
        <f t="shared" si="13"/>
        <v>0</v>
      </c>
      <c r="N136" s="31">
        <v>8073.7</v>
      </c>
      <c r="O136" s="54" t="s">
        <v>194</v>
      </c>
      <c r="P136" s="35">
        <f t="shared" si="14"/>
        <v>0</v>
      </c>
      <c r="Q136" s="16"/>
      <c r="R136" s="16"/>
    </row>
    <row r="137" spans="1:18" s="19" customFormat="1" ht="24.75" customHeight="1" x14ac:dyDescent="0.2">
      <c r="A137" s="21" t="s">
        <v>93</v>
      </c>
      <c r="B137" s="25" t="s">
        <v>182</v>
      </c>
      <c r="C137" s="25" t="s">
        <v>131</v>
      </c>
      <c r="D137" s="22">
        <v>195227.8</v>
      </c>
      <c r="E137" s="22">
        <v>203151.3</v>
      </c>
      <c r="F137" s="22">
        <v>196020.5</v>
      </c>
      <c r="G137" s="39">
        <v>195779.8</v>
      </c>
      <c r="H137" s="36">
        <v>203151.3</v>
      </c>
      <c r="I137" s="53">
        <f t="shared" ref="I137:I157" si="15">H137-E137</f>
        <v>0</v>
      </c>
      <c r="J137" s="26">
        <f t="shared" si="12"/>
        <v>4.0585920652693952E-2</v>
      </c>
      <c r="K137" s="36">
        <v>196020.5</v>
      </c>
      <c r="L137" s="53">
        <f t="shared" ref="L137:L155" si="16">K137-F137</f>
        <v>0</v>
      </c>
      <c r="M137" s="33">
        <f t="shared" si="13"/>
        <v>-3.5100932162383303E-2</v>
      </c>
      <c r="N137" s="30">
        <v>195779.8</v>
      </c>
      <c r="O137" s="53">
        <f t="shared" ref="O137:O155" si="17">N137-G137</f>
        <v>0</v>
      </c>
      <c r="P137" s="33">
        <f t="shared" si="14"/>
        <v>-1.2279327927436912E-3</v>
      </c>
      <c r="Q137" s="4"/>
      <c r="R137" s="4"/>
    </row>
    <row r="138" spans="1:18" s="19" customFormat="1" ht="24.75" customHeight="1" x14ac:dyDescent="0.2">
      <c r="A138" s="8" t="s">
        <v>183</v>
      </c>
      <c r="B138" s="3" t="s">
        <v>182</v>
      </c>
      <c r="C138" s="3" t="s">
        <v>133</v>
      </c>
      <c r="D138" s="12">
        <v>9730</v>
      </c>
      <c r="E138" s="12" t="s">
        <v>194</v>
      </c>
      <c r="F138" s="12" t="s">
        <v>194</v>
      </c>
      <c r="G138" s="38" t="s">
        <v>194</v>
      </c>
      <c r="H138" s="34">
        <v>8735</v>
      </c>
      <c r="I138" s="52" t="s">
        <v>194</v>
      </c>
      <c r="J138" s="27">
        <f t="shared" si="12"/>
        <v>-0.10226104830421379</v>
      </c>
      <c r="K138" s="34">
        <v>9955</v>
      </c>
      <c r="L138" s="52" t="s">
        <v>194</v>
      </c>
      <c r="M138" s="35">
        <f t="shared" si="13"/>
        <v>0.13966800228963949</v>
      </c>
      <c r="N138" s="29">
        <v>9685</v>
      </c>
      <c r="O138" s="52" t="s">
        <v>194</v>
      </c>
      <c r="P138" s="35">
        <f t="shared" si="14"/>
        <v>-2.7122049221496747E-2</v>
      </c>
      <c r="Q138" s="4"/>
      <c r="R138" s="4"/>
    </row>
    <row r="139" spans="1:18" s="19" customFormat="1" ht="24.75" customHeight="1" x14ac:dyDescent="0.2">
      <c r="A139" s="8" t="s">
        <v>94</v>
      </c>
      <c r="B139" s="3" t="s">
        <v>182</v>
      </c>
      <c r="C139" s="3" t="s">
        <v>135</v>
      </c>
      <c r="D139" s="12">
        <v>3645.4</v>
      </c>
      <c r="E139" s="12" t="s">
        <v>194</v>
      </c>
      <c r="F139" s="12" t="s">
        <v>194</v>
      </c>
      <c r="G139" s="38" t="s">
        <v>194</v>
      </c>
      <c r="H139" s="34">
        <v>3545.4</v>
      </c>
      <c r="I139" s="52" t="s">
        <v>194</v>
      </c>
      <c r="J139" s="27">
        <f t="shared" si="12"/>
        <v>-2.7431831897734127E-2</v>
      </c>
      <c r="K139" s="34">
        <v>3545.4</v>
      </c>
      <c r="L139" s="52" t="s">
        <v>194</v>
      </c>
      <c r="M139" s="35">
        <f t="shared" si="13"/>
        <v>0</v>
      </c>
      <c r="N139" s="29">
        <v>3545.4</v>
      </c>
      <c r="O139" s="52" t="s">
        <v>194</v>
      </c>
      <c r="P139" s="35">
        <f t="shared" si="14"/>
        <v>0</v>
      </c>
      <c r="Q139" s="4"/>
      <c r="R139" s="4"/>
    </row>
    <row r="140" spans="1:18" s="19" customFormat="1" ht="24.75" customHeight="1" x14ac:dyDescent="0.2">
      <c r="A140" s="8" t="s">
        <v>95</v>
      </c>
      <c r="B140" s="3" t="s">
        <v>182</v>
      </c>
      <c r="C140" s="3" t="s">
        <v>137</v>
      </c>
      <c r="D140" s="12">
        <v>181852.4</v>
      </c>
      <c r="E140" s="12" t="s">
        <v>194</v>
      </c>
      <c r="F140" s="12" t="s">
        <v>194</v>
      </c>
      <c r="G140" s="38" t="s">
        <v>194</v>
      </c>
      <c r="H140" s="34">
        <v>190870.9</v>
      </c>
      <c r="I140" s="52" t="s">
        <v>194</v>
      </c>
      <c r="J140" s="27">
        <f t="shared" si="12"/>
        <v>4.9592416707175735E-2</v>
      </c>
      <c r="K140" s="34">
        <v>182520.1</v>
      </c>
      <c r="L140" s="52" t="s">
        <v>194</v>
      </c>
      <c r="M140" s="35">
        <f t="shared" si="13"/>
        <v>-4.3751038005269471E-2</v>
      </c>
      <c r="N140" s="29">
        <v>182549.4</v>
      </c>
      <c r="O140" s="52" t="s">
        <v>194</v>
      </c>
      <c r="P140" s="35">
        <f t="shared" si="14"/>
        <v>1.6053026488593858E-4</v>
      </c>
      <c r="Q140" s="4"/>
      <c r="R140" s="4"/>
    </row>
    <row r="141" spans="1:18" s="19" customFormat="1" ht="24.75" customHeight="1" x14ac:dyDescent="0.2">
      <c r="A141" s="23" t="s">
        <v>96</v>
      </c>
      <c r="B141" s="24" t="s">
        <v>184</v>
      </c>
      <c r="C141" s="24" t="s">
        <v>131</v>
      </c>
      <c r="D141" s="22">
        <v>79259.8</v>
      </c>
      <c r="E141" s="22">
        <f>4717.8+49746.1</f>
        <v>54463.9</v>
      </c>
      <c r="F141" s="22">
        <v>84146.7</v>
      </c>
      <c r="G141" s="39">
        <v>83360.7</v>
      </c>
      <c r="H141" s="32">
        <v>54463.9</v>
      </c>
      <c r="I141" s="57">
        <f t="shared" si="15"/>
        <v>0</v>
      </c>
      <c r="J141" s="26">
        <f t="shared" si="12"/>
        <v>-0.31284333293800892</v>
      </c>
      <c r="K141" s="32">
        <v>84146.7</v>
      </c>
      <c r="L141" s="57">
        <f t="shared" si="16"/>
        <v>0</v>
      </c>
      <c r="M141" s="33">
        <f t="shared" si="13"/>
        <v>0.54499953179996274</v>
      </c>
      <c r="N141" s="28">
        <v>83360.7</v>
      </c>
      <c r="O141" s="57">
        <f t="shared" si="17"/>
        <v>0</v>
      </c>
      <c r="P141" s="33">
        <f t="shared" si="14"/>
        <v>-9.3408297651601524E-3</v>
      </c>
      <c r="Q141" s="16"/>
      <c r="R141" s="16"/>
    </row>
    <row r="142" spans="1:18" s="19" customFormat="1" ht="24.75" customHeight="1" x14ac:dyDescent="0.2">
      <c r="A142" s="8" t="s">
        <v>97</v>
      </c>
      <c r="B142" s="3" t="s">
        <v>184</v>
      </c>
      <c r="C142" s="3" t="s">
        <v>133</v>
      </c>
      <c r="D142" s="12">
        <v>48990.1</v>
      </c>
      <c r="E142" s="12" t="s">
        <v>194</v>
      </c>
      <c r="F142" s="12" t="s">
        <v>194</v>
      </c>
      <c r="G142" s="38" t="s">
        <v>194</v>
      </c>
      <c r="H142" s="34">
        <v>36013.9</v>
      </c>
      <c r="I142" s="52" t="s">
        <v>194</v>
      </c>
      <c r="J142" s="27">
        <f t="shared" si="12"/>
        <v>-0.26487392350699424</v>
      </c>
      <c r="K142" s="34">
        <v>66096.7</v>
      </c>
      <c r="L142" s="52" t="s">
        <v>194</v>
      </c>
      <c r="M142" s="35">
        <f t="shared" si="13"/>
        <v>0.83531081054814926</v>
      </c>
      <c r="N142" s="29">
        <v>64910.7</v>
      </c>
      <c r="O142" s="52" t="s">
        <v>194</v>
      </c>
      <c r="P142" s="35">
        <f t="shared" si="14"/>
        <v>-1.7943407159510261E-2</v>
      </c>
      <c r="Q142" s="4"/>
      <c r="R142" s="4"/>
    </row>
    <row r="143" spans="1:18" s="19" customFormat="1" ht="24.75" customHeight="1" x14ac:dyDescent="0.2">
      <c r="A143" s="8" t="s">
        <v>98</v>
      </c>
      <c r="B143" s="3" t="s">
        <v>184</v>
      </c>
      <c r="C143" s="3" t="s">
        <v>135</v>
      </c>
      <c r="D143" s="12">
        <v>30269.7</v>
      </c>
      <c r="E143" s="12" t="s">
        <v>194</v>
      </c>
      <c r="F143" s="12" t="s">
        <v>194</v>
      </c>
      <c r="G143" s="38" t="s">
        <v>194</v>
      </c>
      <c r="H143" s="34">
        <v>18450</v>
      </c>
      <c r="I143" s="52" t="s">
        <v>194</v>
      </c>
      <c r="J143" s="27">
        <f t="shared" si="12"/>
        <v>-0.39047958849939046</v>
      </c>
      <c r="K143" s="34">
        <v>18050</v>
      </c>
      <c r="L143" s="52" t="s">
        <v>194</v>
      </c>
      <c r="M143" s="35">
        <f t="shared" si="13"/>
        <v>-2.1680216802168029E-2</v>
      </c>
      <c r="N143" s="29">
        <v>18450</v>
      </c>
      <c r="O143" s="52" t="s">
        <v>194</v>
      </c>
      <c r="P143" s="35">
        <f t="shared" si="14"/>
        <v>2.2160664819944609E-2</v>
      </c>
      <c r="Q143" s="4"/>
      <c r="R143" s="4"/>
    </row>
    <row r="144" spans="1:18" s="19" customFormat="1" ht="24.75" customHeight="1" x14ac:dyDescent="0.2">
      <c r="A144" s="21" t="s">
        <v>99</v>
      </c>
      <c r="B144" s="25" t="s">
        <v>185</v>
      </c>
      <c r="C144" s="25" t="s">
        <v>131</v>
      </c>
      <c r="D144" s="22">
        <v>15000</v>
      </c>
      <c r="E144" s="22">
        <v>15600</v>
      </c>
      <c r="F144" s="22">
        <v>15600</v>
      </c>
      <c r="G144" s="39">
        <v>15600</v>
      </c>
      <c r="H144" s="36">
        <v>15600</v>
      </c>
      <c r="I144" s="53">
        <f t="shared" si="15"/>
        <v>0</v>
      </c>
      <c r="J144" s="26">
        <f t="shared" si="12"/>
        <v>4.0000000000000036E-2</v>
      </c>
      <c r="K144" s="36">
        <v>15600</v>
      </c>
      <c r="L144" s="53">
        <f t="shared" si="16"/>
        <v>0</v>
      </c>
      <c r="M144" s="33">
        <f t="shared" si="13"/>
        <v>0</v>
      </c>
      <c r="N144" s="30">
        <v>15600</v>
      </c>
      <c r="O144" s="53">
        <f t="shared" si="17"/>
        <v>0</v>
      </c>
      <c r="P144" s="33">
        <f t="shared" si="14"/>
        <v>0</v>
      </c>
      <c r="Q144" s="4"/>
      <c r="R144" s="4"/>
    </row>
    <row r="145" spans="1:19" s="19" customFormat="1" ht="24.75" customHeight="1" x14ac:dyDescent="0.2">
      <c r="A145" s="15" t="s">
        <v>100</v>
      </c>
      <c r="B145" s="18" t="s">
        <v>185</v>
      </c>
      <c r="C145" s="18" t="s">
        <v>133</v>
      </c>
      <c r="D145" s="12">
        <v>15000</v>
      </c>
      <c r="E145" s="12" t="s">
        <v>194</v>
      </c>
      <c r="F145" s="12" t="s">
        <v>194</v>
      </c>
      <c r="G145" s="38" t="s">
        <v>194</v>
      </c>
      <c r="H145" s="37">
        <v>15600</v>
      </c>
      <c r="I145" s="54" t="s">
        <v>194</v>
      </c>
      <c r="J145" s="27">
        <f t="shared" si="12"/>
        <v>4.0000000000000036E-2</v>
      </c>
      <c r="K145" s="37">
        <v>15600</v>
      </c>
      <c r="L145" s="54" t="s">
        <v>194</v>
      </c>
      <c r="M145" s="35">
        <f t="shared" si="13"/>
        <v>0</v>
      </c>
      <c r="N145" s="31">
        <v>15600</v>
      </c>
      <c r="O145" s="54" t="s">
        <v>194</v>
      </c>
      <c r="P145" s="35">
        <f t="shared" si="14"/>
        <v>0</v>
      </c>
      <c r="Q145" s="16"/>
      <c r="R145" s="16"/>
    </row>
    <row r="146" spans="1:19" s="19" customFormat="1" ht="24.75" customHeight="1" x14ac:dyDescent="0.2">
      <c r="A146" s="21" t="s">
        <v>101</v>
      </c>
      <c r="B146" s="25" t="s">
        <v>186</v>
      </c>
      <c r="C146" s="25" t="s">
        <v>131</v>
      </c>
      <c r="D146" s="22">
        <v>55324.800000000003</v>
      </c>
      <c r="E146" s="22">
        <f>23214+30578.1</f>
        <v>53792.1</v>
      </c>
      <c r="F146" s="22">
        <f>23068+31053.1</f>
        <v>54121.1</v>
      </c>
      <c r="G146" s="39">
        <f>23068+31508.6</f>
        <v>54576.6</v>
      </c>
      <c r="H146" s="36">
        <v>53792.1</v>
      </c>
      <c r="I146" s="53">
        <f t="shared" si="15"/>
        <v>0</v>
      </c>
      <c r="J146" s="26">
        <f t="shared" si="12"/>
        <v>-2.7703669963560773E-2</v>
      </c>
      <c r="K146" s="36">
        <v>54121.1</v>
      </c>
      <c r="L146" s="53">
        <f t="shared" si="16"/>
        <v>0</v>
      </c>
      <c r="M146" s="33">
        <f t="shared" si="13"/>
        <v>6.1161397305551368E-3</v>
      </c>
      <c r="N146" s="30">
        <v>54576.6</v>
      </c>
      <c r="O146" s="53">
        <f t="shared" si="17"/>
        <v>0</v>
      </c>
      <c r="P146" s="33">
        <f t="shared" si="14"/>
        <v>8.4163108288635158E-3</v>
      </c>
      <c r="Q146" s="4"/>
      <c r="R146" s="4"/>
    </row>
    <row r="147" spans="1:19" s="19" customFormat="1" ht="24.75" customHeight="1" x14ac:dyDescent="0.2">
      <c r="A147" s="8" t="s">
        <v>187</v>
      </c>
      <c r="B147" s="3" t="s">
        <v>186</v>
      </c>
      <c r="C147" s="3" t="s">
        <v>133</v>
      </c>
      <c r="D147" s="12">
        <v>0</v>
      </c>
      <c r="E147" s="12" t="s">
        <v>194</v>
      </c>
      <c r="F147" s="12" t="s">
        <v>194</v>
      </c>
      <c r="G147" s="38" t="s">
        <v>194</v>
      </c>
      <c r="H147" s="34">
        <v>511.1</v>
      </c>
      <c r="I147" s="52" t="s">
        <v>194</v>
      </c>
      <c r="J147" s="27" t="str">
        <f t="shared" si="12"/>
        <v>-</v>
      </c>
      <c r="K147" s="34">
        <v>445.9</v>
      </c>
      <c r="L147" s="52" t="s">
        <v>194</v>
      </c>
      <c r="M147" s="35">
        <f t="shared" si="13"/>
        <v>-0.12756799060849155</v>
      </c>
      <c r="N147" s="29">
        <v>445.9</v>
      </c>
      <c r="O147" s="52" t="s">
        <v>194</v>
      </c>
      <c r="P147" s="35">
        <f t="shared" si="14"/>
        <v>0</v>
      </c>
      <c r="Q147" s="4"/>
      <c r="R147" s="4"/>
    </row>
    <row r="148" spans="1:19" s="19" customFormat="1" ht="24.75" customHeight="1" x14ac:dyDescent="0.2">
      <c r="A148" s="15" t="s">
        <v>102</v>
      </c>
      <c r="B148" s="18" t="s">
        <v>186</v>
      </c>
      <c r="C148" s="18" t="s">
        <v>135</v>
      </c>
      <c r="D148" s="12">
        <v>29499.599999999999</v>
      </c>
      <c r="E148" s="12" t="s">
        <v>194</v>
      </c>
      <c r="F148" s="12" t="s">
        <v>194</v>
      </c>
      <c r="G148" s="38" t="s">
        <v>194</v>
      </c>
      <c r="H148" s="37">
        <v>31288.9</v>
      </c>
      <c r="I148" s="54" t="s">
        <v>194</v>
      </c>
      <c r="J148" s="27">
        <f t="shared" si="12"/>
        <v>6.0655059729623595E-2</v>
      </c>
      <c r="K148" s="37">
        <v>31154.1</v>
      </c>
      <c r="L148" s="54" t="s">
        <v>194</v>
      </c>
      <c r="M148" s="35">
        <f t="shared" si="13"/>
        <v>-4.308237106450008E-3</v>
      </c>
      <c r="N148" s="31">
        <v>31154.1</v>
      </c>
      <c r="O148" s="54" t="s">
        <v>194</v>
      </c>
      <c r="P148" s="35">
        <f t="shared" si="14"/>
        <v>0</v>
      </c>
      <c r="Q148" s="16"/>
      <c r="R148" s="16"/>
    </row>
    <row r="149" spans="1:19" s="19" customFormat="1" ht="24.75" customHeight="1" x14ac:dyDescent="0.2">
      <c r="A149" s="8" t="s">
        <v>103</v>
      </c>
      <c r="B149" s="3" t="s">
        <v>186</v>
      </c>
      <c r="C149" s="3" t="s">
        <v>137</v>
      </c>
      <c r="D149" s="12">
        <v>25825.200000000001</v>
      </c>
      <c r="E149" s="12" t="s">
        <v>194</v>
      </c>
      <c r="F149" s="12" t="s">
        <v>194</v>
      </c>
      <c r="G149" s="38" t="s">
        <v>194</v>
      </c>
      <c r="H149" s="34">
        <v>21992.1</v>
      </c>
      <c r="I149" s="52" t="s">
        <v>194</v>
      </c>
      <c r="J149" s="27">
        <f t="shared" si="12"/>
        <v>-0.14842479438687806</v>
      </c>
      <c r="K149" s="34">
        <v>22521.1</v>
      </c>
      <c r="L149" s="52" t="s">
        <v>194</v>
      </c>
      <c r="M149" s="35">
        <f t="shared" si="13"/>
        <v>2.405409215127241E-2</v>
      </c>
      <c r="N149" s="29">
        <v>22976.6</v>
      </c>
      <c r="O149" s="52" t="s">
        <v>194</v>
      </c>
      <c r="P149" s="35">
        <f t="shared" si="14"/>
        <v>2.0225477441155215E-2</v>
      </c>
      <c r="Q149" s="4"/>
      <c r="R149" s="4"/>
    </row>
    <row r="150" spans="1:19" s="19" customFormat="1" ht="24.75" customHeight="1" x14ac:dyDescent="0.2">
      <c r="A150" s="23" t="s">
        <v>104</v>
      </c>
      <c r="B150" s="24" t="s">
        <v>188</v>
      </c>
      <c r="C150" s="24" t="s">
        <v>131</v>
      </c>
      <c r="D150" s="22">
        <v>84871.9</v>
      </c>
      <c r="E150" s="22">
        <v>94360.9</v>
      </c>
      <c r="F150" s="22">
        <v>88017</v>
      </c>
      <c r="G150" s="39">
        <v>79813.100000000006</v>
      </c>
      <c r="H150" s="32">
        <v>94360.9</v>
      </c>
      <c r="I150" s="57">
        <f t="shared" si="15"/>
        <v>0</v>
      </c>
      <c r="J150" s="26">
        <f t="shared" si="12"/>
        <v>0.11180378900437016</v>
      </c>
      <c r="K150" s="32">
        <v>88017</v>
      </c>
      <c r="L150" s="57">
        <f t="shared" si="16"/>
        <v>0</v>
      </c>
      <c r="M150" s="33">
        <f t="shared" si="13"/>
        <v>-6.7230176905900607E-2</v>
      </c>
      <c r="N150" s="28">
        <v>79813.100000000006</v>
      </c>
      <c r="O150" s="57">
        <f t="shared" si="17"/>
        <v>0</v>
      </c>
      <c r="P150" s="33">
        <f t="shared" si="14"/>
        <v>-9.320813024756569E-2</v>
      </c>
      <c r="Q150" s="63"/>
      <c r="R150" s="63"/>
      <c r="S150" s="10"/>
    </row>
    <row r="151" spans="1:19" s="19" customFormat="1" ht="24.75" customHeight="1" x14ac:dyDescent="0.2">
      <c r="A151" s="8" t="s">
        <v>105</v>
      </c>
      <c r="B151" s="3" t="s">
        <v>188</v>
      </c>
      <c r="C151" s="3" t="s">
        <v>133</v>
      </c>
      <c r="D151" s="12">
        <v>45514</v>
      </c>
      <c r="E151" s="12" t="s">
        <v>194</v>
      </c>
      <c r="F151" s="12" t="s">
        <v>194</v>
      </c>
      <c r="G151" s="38" t="s">
        <v>194</v>
      </c>
      <c r="H151" s="34">
        <v>58263.9</v>
      </c>
      <c r="I151" s="52" t="s">
        <v>194</v>
      </c>
      <c r="J151" s="27">
        <f t="shared" si="12"/>
        <v>0.28013138814430727</v>
      </c>
      <c r="K151" s="34">
        <v>55228.4</v>
      </c>
      <c r="L151" s="52" t="s">
        <v>194</v>
      </c>
      <c r="M151" s="35">
        <f t="shared" si="13"/>
        <v>-5.2099155737944103E-2</v>
      </c>
      <c r="N151" s="29">
        <v>46740.800000000003</v>
      </c>
      <c r="O151" s="52" t="s">
        <v>194</v>
      </c>
      <c r="P151" s="35">
        <f t="shared" si="14"/>
        <v>-0.15368180139203735</v>
      </c>
      <c r="Q151" s="4"/>
      <c r="R151" s="4"/>
    </row>
    <row r="152" spans="1:19" s="19" customFormat="1" ht="24.75" customHeight="1" x14ac:dyDescent="0.2">
      <c r="A152" s="8" t="s">
        <v>106</v>
      </c>
      <c r="B152" s="3" t="s">
        <v>188</v>
      </c>
      <c r="C152" s="3" t="s">
        <v>135</v>
      </c>
      <c r="D152" s="12">
        <v>39357.9</v>
      </c>
      <c r="E152" s="12" t="s">
        <v>194</v>
      </c>
      <c r="F152" s="12" t="s">
        <v>194</v>
      </c>
      <c r="G152" s="38" t="s">
        <v>194</v>
      </c>
      <c r="H152" s="34">
        <v>36097</v>
      </c>
      <c r="I152" s="52" t="s">
        <v>194</v>
      </c>
      <c r="J152" s="27">
        <f t="shared" si="12"/>
        <v>-8.2852489589129497E-2</v>
      </c>
      <c r="K152" s="34">
        <v>32788.6</v>
      </c>
      <c r="L152" s="52" t="s">
        <v>194</v>
      </c>
      <c r="M152" s="35">
        <f t="shared" si="13"/>
        <v>-9.1653045959498081E-2</v>
      </c>
      <c r="N152" s="29">
        <v>33072.300000000003</v>
      </c>
      <c r="O152" s="52" t="s">
        <v>194</v>
      </c>
      <c r="P152" s="35">
        <f t="shared" si="14"/>
        <v>8.6523974796119951E-3</v>
      </c>
      <c r="Q152" s="4"/>
      <c r="R152" s="4"/>
    </row>
    <row r="153" spans="1:19" s="19" customFormat="1" ht="24.75" customHeight="1" x14ac:dyDescent="0.2">
      <c r="A153" s="23" t="s">
        <v>189</v>
      </c>
      <c r="B153" s="24" t="s">
        <v>190</v>
      </c>
      <c r="C153" s="24" t="s">
        <v>131</v>
      </c>
      <c r="D153" s="22">
        <v>493067.3</v>
      </c>
      <c r="E153" s="22">
        <f>264924.6+228308.6</f>
        <v>493233.19999999995</v>
      </c>
      <c r="F153" s="22">
        <f>264924.6+128308.6</f>
        <v>393233.19999999995</v>
      </c>
      <c r="G153" s="39">
        <v>128308.6</v>
      </c>
      <c r="H153" s="32">
        <v>228308.6</v>
      </c>
      <c r="I153" s="56">
        <f t="shared" si="15"/>
        <v>-264924.59999999998</v>
      </c>
      <c r="J153" s="26">
        <f t="shared" si="12"/>
        <v>-0.53696260125139106</v>
      </c>
      <c r="K153" s="32">
        <v>128308.6</v>
      </c>
      <c r="L153" s="56">
        <f t="shared" si="16"/>
        <v>-264924.59999999998</v>
      </c>
      <c r="M153" s="33">
        <f t="shared" si="13"/>
        <v>-0.43800364944640713</v>
      </c>
      <c r="N153" s="28">
        <v>128308.6</v>
      </c>
      <c r="O153" s="57">
        <f t="shared" si="17"/>
        <v>0</v>
      </c>
      <c r="P153" s="33">
        <f t="shared" si="14"/>
        <v>0</v>
      </c>
      <c r="Q153" s="16"/>
      <c r="R153" s="16"/>
    </row>
    <row r="154" spans="1:19" s="19" customFormat="1" ht="24.75" customHeight="1" x14ac:dyDescent="0.2">
      <c r="A154" s="8" t="s">
        <v>191</v>
      </c>
      <c r="B154" s="3" t="s">
        <v>190</v>
      </c>
      <c r="C154" s="3" t="s">
        <v>133</v>
      </c>
      <c r="D154" s="12">
        <v>493067.3</v>
      </c>
      <c r="E154" s="12" t="s">
        <v>194</v>
      </c>
      <c r="F154" s="12" t="s">
        <v>194</v>
      </c>
      <c r="G154" s="38" t="s">
        <v>194</v>
      </c>
      <c r="H154" s="34">
        <v>228308.6</v>
      </c>
      <c r="I154" s="52" t="s">
        <v>194</v>
      </c>
      <c r="J154" s="27">
        <f t="shared" si="12"/>
        <v>-0.53696260125139106</v>
      </c>
      <c r="K154" s="34">
        <v>128308.6</v>
      </c>
      <c r="L154" s="52" t="s">
        <v>194</v>
      </c>
      <c r="M154" s="35">
        <f t="shared" si="13"/>
        <v>-0.43800364944640713</v>
      </c>
      <c r="N154" s="29">
        <v>128308.6</v>
      </c>
      <c r="O154" s="52" t="s">
        <v>194</v>
      </c>
      <c r="P154" s="35">
        <f t="shared" si="14"/>
        <v>0</v>
      </c>
      <c r="Q154" s="4"/>
      <c r="R154" s="4"/>
    </row>
    <row r="155" spans="1:19" s="19" customFormat="1" ht="24.75" customHeight="1" x14ac:dyDescent="0.2">
      <c r="A155" s="50" t="s">
        <v>107</v>
      </c>
      <c r="B155" s="25" t="s">
        <v>192</v>
      </c>
      <c r="C155" s="25" t="s">
        <v>131</v>
      </c>
      <c r="D155" s="22">
        <v>55000</v>
      </c>
      <c r="E155" s="22">
        <v>0</v>
      </c>
      <c r="F155" s="22">
        <v>0</v>
      </c>
      <c r="G155" s="39">
        <v>0</v>
      </c>
      <c r="H155" s="36">
        <v>0</v>
      </c>
      <c r="I155" s="53">
        <f t="shared" si="15"/>
        <v>0</v>
      </c>
      <c r="J155" s="26">
        <f t="shared" si="12"/>
        <v>-1</v>
      </c>
      <c r="K155" s="36">
        <v>0</v>
      </c>
      <c r="L155" s="53">
        <f t="shared" si="16"/>
        <v>0</v>
      </c>
      <c r="M155" s="33" t="str">
        <f t="shared" si="13"/>
        <v>-</v>
      </c>
      <c r="N155" s="30">
        <v>0</v>
      </c>
      <c r="O155" s="53">
        <f t="shared" si="17"/>
        <v>0</v>
      </c>
      <c r="P155" s="33" t="str">
        <f t="shared" si="14"/>
        <v>-</v>
      </c>
      <c r="Q155" s="4"/>
      <c r="R155" s="4"/>
    </row>
    <row r="156" spans="1:19" ht="7.5" customHeight="1" thickBot="1" x14ac:dyDescent="0.25">
      <c r="A156" s="5"/>
      <c r="B156" s="6"/>
      <c r="C156" s="6"/>
      <c r="D156" s="13"/>
      <c r="E156" s="13"/>
      <c r="F156" s="13"/>
      <c r="G156" s="13"/>
      <c r="H156" s="7"/>
      <c r="I156" s="7"/>
      <c r="J156" s="9"/>
      <c r="K156" s="7"/>
      <c r="L156" s="7"/>
      <c r="M156" s="7"/>
      <c r="N156" s="7"/>
      <c r="O156" s="7"/>
      <c r="P156" s="7"/>
      <c r="Q156" s="7"/>
      <c r="R156" s="7"/>
    </row>
    <row r="157" spans="1:19" ht="18.75" customHeight="1" thickBot="1" x14ac:dyDescent="0.25">
      <c r="A157" s="21" t="s">
        <v>111</v>
      </c>
      <c r="B157" s="20"/>
      <c r="C157" s="20"/>
      <c r="D157" s="22">
        <v>69725837.900000006</v>
      </c>
      <c r="E157" s="22">
        <v>71901071.200000003</v>
      </c>
      <c r="F157" s="22">
        <v>71346925.099999994</v>
      </c>
      <c r="G157" s="39">
        <v>71921039.400000006</v>
      </c>
      <c r="H157" s="40">
        <v>70206474.200000003</v>
      </c>
      <c r="I157" s="58">
        <f t="shared" si="15"/>
        <v>-1694597</v>
      </c>
      <c r="J157" s="42">
        <f t="shared" si="12"/>
        <v>6.8932308951141774E-3</v>
      </c>
      <c r="K157" s="40">
        <v>69558310.099999994</v>
      </c>
      <c r="L157" s="58">
        <f>K157-F157</f>
        <v>-1788615</v>
      </c>
      <c r="M157" s="41">
        <f>IF(H157=0,"-",K157/H157-1)</f>
        <v>-9.2322553921958539E-3</v>
      </c>
      <c r="N157" s="43">
        <v>70303330.900000006</v>
      </c>
      <c r="O157" s="58">
        <f>N157-G157</f>
        <v>-1617708.5</v>
      </c>
      <c r="P157" s="41">
        <f>IF(K157=0,"-",N157/K157-1)</f>
        <v>1.0710737493894618E-2</v>
      </c>
      <c r="Q157" s="7"/>
      <c r="R157" s="7"/>
    </row>
    <row r="158" spans="1:19" ht="18.75" customHeight="1" x14ac:dyDescent="0.2">
      <c r="A158" s="11" t="s">
        <v>193</v>
      </c>
    </row>
  </sheetData>
  <autoFilter ref="B5:C155"/>
  <mergeCells count="15">
    <mergeCell ref="A1:P1"/>
    <mergeCell ref="A2:P2"/>
    <mergeCell ref="Q150:R150"/>
    <mergeCell ref="D4:D5"/>
    <mergeCell ref="B4:C4"/>
    <mergeCell ref="A4:A5"/>
    <mergeCell ref="H4:P4"/>
    <mergeCell ref="H5:J5"/>
    <mergeCell ref="K5:M5"/>
    <mergeCell ref="N5:P5"/>
    <mergeCell ref="E4:G4"/>
    <mergeCell ref="D6:D12"/>
    <mergeCell ref="D80:D88"/>
    <mergeCell ref="J6:J12"/>
    <mergeCell ref="J80:J88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67" fitToHeight="6" orientation="landscape" verticalDpi="0" r:id="rId1"/>
  <headerFooter differentFirst="1">
    <oddHeader>&amp;C&amp;P</oddHeader>
  </headerFooter>
  <rowBreaks count="1" manualBreakCount="1">
    <brk id="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Елимов Александр Сергеевич</dc:creator>
  <cp:lastModifiedBy>Кузин Роман Алексеевич</cp:lastModifiedBy>
  <cp:lastPrinted>2018-11-04T09:23:14Z</cp:lastPrinted>
  <dcterms:created xsi:type="dcterms:W3CDTF">2017-11-02T16:11:47Z</dcterms:created>
  <dcterms:modified xsi:type="dcterms:W3CDTF">2018-12-13T13:18:44Z</dcterms:modified>
</cp:coreProperties>
</file>